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ate1904="1" showInkAnnotation="0" autoCompressPictures="0"/>
  <mc:AlternateContent xmlns:mc="http://schemas.openxmlformats.org/markup-compatibility/2006">
    <mc:Choice Requires="x15">
      <x15ac:absPath xmlns:x15ac="http://schemas.microsoft.com/office/spreadsheetml/2010/11/ac" url="C:\Users\MMINDRUM\Desktop\Personal\Miftek\"/>
    </mc:Choice>
  </mc:AlternateContent>
  <bookViews>
    <workbookView xWindow="58695" yWindow="-1020" windowWidth="32145" windowHeight="22035" firstSheet="1" activeTab="5"/>
  </bookViews>
  <sheets>
    <sheet name="Revenues and Sources" sheetId="9" r:id="rId1"/>
    <sheet name="MILESTONES" sheetId="10" r:id="rId2"/>
    <sheet name="Summary Table &amp; Chart" sheetId="8" r:id="rId3"/>
    <sheet name="ProForma income - EBITDA only" sheetId="7" r:id="rId4"/>
    <sheet name="Assumptions" sheetId="3" r:id="rId5"/>
    <sheet name="ProForma income - Full" sheetId="1" r:id="rId6"/>
    <sheet name="Balance Sheet" sheetId="4" r:id="rId7"/>
    <sheet name="Operational Cash Flow" sheetId="5" r:id="rId8"/>
  </sheets>
  <calcPr calcId="162913"/>
  <extLst>
    <ext xmlns:x14="http://schemas.microsoft.com/office/spreadsheetml/2009/9/main" uri="{79F54976-1DA5-4618-B147-4CDE4B953A38}">
      <x14:workbookPr defaultImageDpi="330"/>
    </ext>
  </extLst>
</workbook>
</file>

<file path=xl/calcChain.xml><?xml version="1.0" encoding="utf-8"?>
<calcChain xmlns="http://schemas.openxmlformats.org/spreadsheetml/2006/main">
  <c r="F18" i="10" l="1"/>
  <c r="E18" i="10"/>
  <c r="D18" i="10"/>
  <c r="G10" i="8"/>
  <c r="F10" i="8"/>
  <c r="E10" i="8"/>
  <c r="D10" i="8"/>
  <c r="C10" i="8"/>
  <c r="G57" i="7" l="1"/>
  <c r="F57" i="7"/>
  <c r="E57" i="7"/>
  <c r="D57" i="7"/>
  <c r="C57" i="7"/>
  <c r="D6" i="8"/>
  <c r="E6" i="8"/>
  <c r="F6" i="8"/>
  <c r="G6" i="8"/>
  <c r="C6" i="8"/>
  <c r="F48" i="9" l="1"/>
  <c r="F47" i="9"/>
  <c r="F45" i="9"/>
  <c r="F44" i="9"/>
  <c r="F42" i="9"/>
  <c r="F41" i="9"/>
  <c r="F39" i="9"/>
  <c r="F38" i="9"/>
  <c r="F37" i="9"/>
  <c r="F36" i="9"/>
  <c r="F35" i="9"/>
  <c r="F34" i="9"/>
  <c r="F49" i="9" s="1"/>
  <c r="H35" i="9"/>
  <c r="G35" i="9"/>
  <c r="D49" i="9"/>
  <c r="E49" i="9"/>
  <c r="C49" i="9"/>
  <c r="D16" i="9"/>
  <c r="H36" i="9" s="1"/>
  <c r="C16" i="9"/>
  <c r="G36" i="9" s="1"/>
  <c r="E15" i="9"/>
  <c r="I35" i="9" s="1"/>
  <c r="D15" i="9"/>
  <c r="C15" i="9"/>
  <c r="C17" i="9" l="1"/>
  <c r="D17" i="9"/>
  <c r="D18" i="8"/>
  <c r="C18" i="8"/>
  <c r="E17" i="8"/>
  <c r="D17" i="8"/>
  <c r="C17" i="8"/>
  <c r="D19" i="8" l="1"/>
  <c r="F42" i="1"/>
  <c r="E42" i="1"/>
  <c r="D42" i="1"/>
  <c r="G40" i="1"/>
  <c r="F40" i="1"/>
  <c r="E40" i="1"/>
  <c r="D40" i="1"/>
  <c r="C40" i="1"/>
  <c r="G39" i="1"/>
  <c r="F39" i="1"/>
  <c r="E39" i="1"/>
  <c r="D39" i="1"/>
  <c r="C39" i="1"/>
  <c r="G38" i="1"/>
  <c r="F38" i="1"/>
  <c r="E38" i="1"/>
  <c r="D38" i="1"/>
  <c r="C38" i="1"/>
  <c r="D37" i="1"/>
  <c r="C37" i="1"/>
  <c r="D36" i="1"/>
  <c r="C36" i="1"/>
  <c r="G27" i="1"/>
  <c r="F27" i="1"/>
  <c r="E27" i="1"/>
  <c r="D27" i="1"/>
  <c r="C27" i="1"/>
  <c r="D24" i="1"/>
  <c r="C24" i="1"/>
  <c r="D23" i="1"/>
  <c r="C23" i="1"/>
  <c r="D22" i="1"/>
  <c r="C22" i="1"/>
  <c r="G18" i="1"/>
  <c r="G17" i="1"/>
  <c r="H6" i="9" s="1"/>
  <c r="F18" i="1"/>
  <c r="F17" i="1"/>
  <c r="G6" i="9" s="1"/>
  <c r="E18" i="1"/>
  <c r="E17" i="1"/>
  <c r="E6" i="9" s="1"/>
  <c r="D18" i="1"/>
  <c r="D17" i="1"/>
  <c r="D6" i="9" s="1"/>
  <c r="H34" i="9" s="1"/>
  <c r="H49" i="9" s="1"/>
  <c r="C18" i="1"/>
  <c r="C17" i="1"/>
  <c r="C6" i="9" s="1"/>
  <c r="G34" i="9" s="1"/>
  <c r="G49" i="9" s="1"/>
  <c r="G12" i="1"/>
  <c r="F12" i="1"/>
  <c r="E12" i="1"/>
  <c r="D12" i="1"/>
  <c r="C12" i="1"/>
  <c r="D11" i="1"/>
  <c r="D3" i="9" s="1"/>
  <c r="E11" i="1"/>
  <c r="E3" i="9" s="1"/>
  <c r="F11" i="1"/>
  <c r="G3" i="9" s="1"/>
  <c r="G11" i="1"/>
  <c r="H3" i="9" s="1"/>
  <c r="C19" i="8"/>
  <c r="C11" i="8"/>
  <c r="G7" i="8"/>
  <c r="E7" i="8"/>
  <c r="C7" i="8"/>
  <c r="C4" i="8"/>
  <c r="G3" i="8"/>
  <c r="F3" i="8" l="1"/>
  <c r="D7" i="8"/>
  <c r="E4" i="8"/>
  <c r="E4" i="9"/>
  <c r="D9" i="9"/>
  <c r="F4" i="8"/>
  <c r="G4" i="9"/>
  <c r="F7" i="8"/>
  <c r="C13" i="1"/>
  <c r="C5" i="9" s="1"/>
  <c r="C7" i="9" s="1"/>
  <c r="C4" i="9"/>
  <c r="G4" i="8"/>
  <c r="H4" i="9"/>
  <c r="D4" i="8"/>
  <c r="D4" i="9"/>
  <c r="C9" i="9"/>
  <c r="D3" i="8"/>
  <c r="C11" i="1"/>
  <c r="G23" i="7"/>
  <c r="G23" i="1" s="1"/>
  <c r="F23" i="7"/>
  <c r="F23" i="1" s="1"/>
  <c r="E23" i="7"/>
  <c r="E23" i="1" s="1"/>
  <c r="G22" i="7"/>
  <c r="G22" i="1" s="1"/>
  <c r="F22" i="7"/>
  <c r="F22" i="1" s="1"/>
  <c r="E22" i="7"/>
  <c r="E22" i="1" s="1"/>
  <c r="G61" i="1"/>
  <c r="F61" i="1"/>
  <c r="G60" i="1"/>
  <c r="F60" i="1"/>
  <c r="E60" i="1"/>
  <c r="D60" i="1"/>
  <c r="G59" i="1"/>
  <c r="F59" i="1"/>
  <c r="E59" i="1"/>
  <c r="D59" i="1"/>
  <c r="G58" i="1"/>
  <c r="F58" i="1"/>
  <c r="E58" i="1"/>
  <c r="C60" i="1"/>
  <c r="C59" i="1"/>
  <c r="C42" i="1"/>
  <c r="D7" i="1"/>
  <c r="E7" i="1" s="1"/>
  <c r="F7" i="1" s="1"/>
  <c r="G7" i="1" s="1"/>
  <c r="G16" i="9" l="1"/>
  <c r="F18" i="8"/>
  <c r="H16" i="9"/>
  <c r="G18" i="8"/>
  <c r="C26" i="9"/>
  <c r="C3" i="8"/>
  <c r="C3" i="9"/>
  <c r="G15" i="9"/>
  <c r="J35" i="9" s="1"/>
  <c r="F17" i="8"/>
  <c r="E16" i="9"/>
  <c r="E18" i="8"/>
  <c r="E19" i="8" s="1"/>
  <c r="H15" i="9"/>
  <c r="K35" i="9" s="1"/>
  <c r="G17" i="8"/>
  <c r="E3" i="8"/>
  <c r="E7" i="7"/>
  <c r="F7" i="7" s="1"/>
  <c r="G7" i="7" s="1"/>
  <c r="D7" i="7"/>
  <c r="F19" i="8" l="1"/>
  <c r="G19" i="8"/>
  <c r="H17" i="9"/>
  <c r="K36" i="9"/>
  <c r="I36" i="9"/>
  <c r="E17" i="9"/>
  <c r="G17" i="9"/>
  <c r="J36" i="9"/>
  <c r="G35" i="1"/>
  <c r="F35" i="1"/>
  <c r="E35" i="1"/>
  <c r="D35" i="1"/>
  <c r="C35" i="1"/>
  <c r="G35" i="7"/>
  <c r="F35" i="7"/>
  <c r="E35" i="7"/>
  <c r="D35" i="7"/>
  <c r="C35" i="7"/>
  <c r="D13" i="1"/>
  <c r="D5" i="9" s="1"/>
  <c r="D7" i="9" s="1"/>
  <c r="C25" i="1"/>
  <c r="C28" i="1" s="1"/>
  <c r="C8" i="9" s="1"/>
  <c r="C41" i="1"/>
  <c r="C43" i="1" s="1"/>
  <c r="C41" i="7"/>
  <c r="C43" i="7"/>
  <c r="C25" i="7"/>
  <c r="C28" i="7" s="1"/>
  <c r="D13" i="7"/>
  <c r="E13" i="7"/>
  <c r="F13" i="7"/>
  <c r="G13" i="7"/>
  <c r="C13" i="7"/>
  <c r="C15" i="7"/>
  <c r="C16" i="7" s="1"/>
  <c r="G8" i="7"/>
  <c r="F8" i="7"/>
  <c r="E8" i="7"/>
  <c r="D8" i="7"/>
  <c r="E13" i="1"/>
  <c r="F13" i="1"/>
  <c r="G13" i="1"/>
  <c r="G15" i="3"/>
  <c r="F15" i="3"/>
  <c r="G18" i="3"/>
  <c r="F18" i="3"/>
  <c r="G21" i="3"/>
  <c r="F21" i="3"/>
  <c r="G22" i="3"/>
  <c r="F22" i="3"/>
  <c r="G56" i="4"/>
  <c r="H56" i="4"/>
  <c r="F56" i="4"/>
  <c r="E56" i="4"/>
  <c r="D57" i="4"/>
  <c r="D63" i="4"/>
  <c r="E57" i="4"/>
  <c r="E63" i="4" s="1"/>
  <c r="D16" i="4"/>
  <c r="D17" i="4"/>
  <c r="E66" i="4"/>
  <c r="E68" i="4" s="1"/>
  <c r="E27" i="4" s="1"/>
  <c r="E34" i="4"/>
  <c r="D66" i="4"/>
  <c r="D68" i="4" s="1"/>
  <c r="D27" i="4" s="1"/>
  <c r="D29" i="4" s="1"/>
  <c r="D34" i="4"/>
  <c r="F57" i="4"/>
  <c r="F66" i="4"/>
  <c r="F68" i="4" s="1"/>
  <c r="F27" i="4" s="1"/>
  <c r="G57" i="4"/>
  <c r="G66" i="4"/>
  <c r="G68" i="4" s="1"/>
  <c r="G27" i="4" s="1"/>
  <c r="H57" i="4"/>
  <c r="H66" i="4"/>
  <c r="H68" i="4" s="1"/>
  <c r="H27" i="4" s="1"/>
  <c r="F34" i="4"/>
  <c r="G34" i="4"/>
  <c r="H34" i="4"/>
  <c r="E16" i="4"/>
  <c r="E17" i="4"/>
  <c r="D64" i="4"/>
  <c r="D18" i="4" s="1"/>
  <c r="C21" i="5"/>
  <c r="D12" i="5"/>
  <c r="D14" i="5"/>
  <c r="E12" i="5"/>
  <c r="E14" i="5"/>
  <c r="F12" i="5"/>
  <c r="F14" i="5"/>
  <c r="C10" i="5"/>
  <c r="C11" i="5"/>
  <c r="C12" i="5"/>
  <c r="C14" i="5"/>
  <c r="B22" i="5"/>
  <c r="C22" i="5"/>
  <c r="C23" i="5" s="1"/>
  <c r="D22" i="5"/>
  <c r="E22" i="5"/>
  <c r="F22" i="5"/>
  <c r="B21" i="5"/>
  <c r="B23" i="5" s="1"/>
  <c r="B6" i="5"/>
  <c r="D8" i="1"/>
  <c r="E8" i="1"/>
  <c r="G8" i="1"/>
  <c r="F8" i="1"/>
  <c r="E64" i="4" l="1"/>
  <c r="E18" i="4" s="1"/>
  <c r="E19" i="4" s="1"/>
  <c r="E21" i="4" s="1"/>
  <c r="C6" i="5"/>
  <c r="D19" i="4"/>
  <c r="D21" i="4" s="1"/>
  <c r="D35" i="4"/>
  <c r="E36" i="7"/>
  <c r="E36" i="1" s="1"/>
  <c r="E37" i="7"/>
  <c r="E37" i="1" s="1"/>
  <c r="D26" i="9"/>
  <c r="E12" i="8"/>
  <c r="E10" i="9"/>
  <c r="E5" i="8"/>
  <c r="E8" i="8" s="1"/>
  <c r="E5" i="9"/>
  <c r="F36" i="7"/>
  <c r="F36" i="1" s="1"/>
  <c r="F37" i="7"/>
  <c r="F37" i="1" s="1"/>
  <c r="G5" i="8"/>
  <c r="G8" i="8" s="1"/>
  <c r="G28" i="8" s="1"/>
  <c r="H5" i="9"/>
  <c r="F12" i="8"/>
  <c r="G10" i="9"/>
  <c r="D12" i="8"/>
  <c r="D10" i="9"/>
  <c r="F5" i="8"/>
  <c r="F8" i="8" s="1"/>
  <c r="F28" i="8" s="1"/>
  <c r="G5" i="9"/>
  <c r="G36" i="7"/>
  <c r="G36" i="1" s="1"/>
  <c r="G37" i="7"/>
  <c r="G37" i="1" s="1"/>
  <c r="C12" i="8"/>
  <c r="C10" i="9"/>
  <c r="C11" i="9" s="1"/>
  <c r="C15" i="1"/>
  <c r="C19" i="1" s="1"/>
  <c r="C5" i="8"/>
  <c r="C8" i="8" s="1"/>
  <c r="D11" i="8"/>
  <c r="D5" i="8"/>
  <c r="D8" i="8" s="1"/>
  <c r="E28" i="8"/>
  <c r="D51" i="4"/>
  <c r="C9" i="8"/>
  <c r="F11" i="8"/>
  <c r="F15" i="1"/>
  <c r="G46" i="4" s="1"/>
  <c r="G48" i="4" s="1"/>
  <c r="G8" i="4" s="1"/>
  <c r="G15" i="1"/>
  <c r="E15" i="1"/>
  <c r="D15" i="1"/>
  <c r="D16" i="1" s="1"/>
  <c r="D25" i="1"/>
  <c r="C19" i="7"/>
  <c r="C31" i="7" s="1"/>
  <c r="C32" i="7" s="1"/>
  <c r="G15" i="7"/>
  <c r="G24" i="7"/>
  <c r="F15" i="7"/>
  <c r="F19" i="7" s="1"/>
  <c r="F24" i="7"/>
  <c r="E24" i="7"/>
  <c r="E24" i="1" s="1"/>
  <c r="E25" i="1" s="1"/>
  <c r="E13" i="5"/>
  <c r="G29" i="4"/>
  <c r="G35" i="4" s="1"/>
  <c r="F13" i="5"/>
  <c r="H29" i="4"/>
  <c r="H35" i="4" s="1"/>
  <c r="D13" i="5"/>
  <c r="F29" i="4"/>
  <c r="F35" i="4" s="1"/>
  <c r="E29" i="4"/>
  <c r="E35" i="4" s="1"/>
  <c r="C13" i="5"/>
  <c r="C15" i="5" s="1"/>
  <c r="E46" i="4"/>
  <c r="E48" i="4" s="1"/>
  <c r="E15" i="7"/>
  <c r="E16" i="7" s="1"/>
  <c r="D15" i="7"/>
  <c r="D16" i="7" s="1"/>
  <c r="D25" i="7"/>
  <c r="D28" i="7" s="1"/>
  <c r="E19" i="7"/>
  <c r="C27" i="9" l="1"/>
  <c r="C12" i="9"/>
  <c r="G25" i="7"/>
  <c r="G28" i="7" s="1"/>
  <c r="G24" i="1"/>
  <c r="G25" i="1" s="1"/>
  <c r="G28" i="1" s="1"/>
  <c r="H8" i="9" s="1"/>
  <c r="H11" i="9" s="1"/>
  <c r="H27" i="9" s="1"/>
  <c r="G16" i="7"/>
  <c r="G42" i="7"/>
  <c r="G42" i="1" s="1"/>
  <c r="H10" i="9" s="1"/>
  <c r="C13" i="8"/>
  <c r="C29" i="8" s="1"/>
  <c r="H9" i="9"/>
  <c r="K47" i="9"/>
  <c r="K49" i="9" s="1"/>
  <c r="H7" i="9"/>
  <c r="G9" i="9"/>
  <c r="E9" i="9"/>
  <c r="E25" i="7"/>
  <c r="F25" i="7"/>
  <c r="F28" i="7" s="1"/>
  <c r="F31" i="7" s="1"/>
  <c r="F32" i="7" s="1"/>
  <c r="F24" i="1"/>
  <c r="F25" i="1" s="1"/>
  <c r="F26" i="1" s="1"/>
  <c r="C45" i="7"/>
  <c r="C49" i="7" s="1"/>
  <c r="C54" i="7" s="1"/>
  <c r="C55" i="7" s="1"/>
  <c r="J47" i="9"/>
  <c r="J49" i="9" s="1"/>
  <c r="G7" i="9"/>
  <c r="I47" i="9"/>
  <c r="I49" i="9" s="1"/>
  <c r="E7" i="9"/>
  <c r="G11" i="8"/>
  <c r="C16" i="1"/>
  <c r="D46" i="4"/>
  <c r="D48" i="4" s="1"/>
  <c r="G19" i="1"/>
  <c r="H44" i="4" s="1"/>
  <c r="H7" i="4" s="1"/>
  <c r="G19" i="7"/>
  <c r="D28" i="8"/>
  <c r="E11" i="8"/>
  <c r="C28" i="8"/>
  <c r="H46" i="4"/>
  <c r="H48" i="4" s="1"/>
  <c r="H8" i="4" s="1"/>
  <c r="F10" i="5" s="1"/>
  <c r="E53" i="4"/>
  <c r="F19" i="1"/>
  <c r="G44" i="4" s="1"/>
  <c r="G7" i="4" s="1"/>
  <c r="F16" i="1"/>
  <c r="H53" i="4"/>
  <c r="H55" i="4" s="1"/>
  <c r="F21" i="5" s="1"/>
  <c r="F23" i="5" s="1"/>
  <c r="F53" i="4"/>
  <c r="F55" i="4" s="1"/>
  <c r="D21" i="5" s="1"/>
  <c r="D23" i="5" s="1"/>
  <c r="D19" i="1"/>
  <c r="G16" i="1"/>
  <c r="F46" i="4"/>
  <c r="F48" i="4" s="1"/>
  <c r="F8" i="4" s="1"/>
  <c r="D10" i="5" s="1"/>
  <c r="G53" i="4"/>
  <c r="G55" i="4" s="1"/>
  <c r="G59" i="4" s="1"/>
  <c r="E19" i="1"/>
  <c r="F44" i="4" s="1"/>
  <c r="F7" i="4" s="1"/>
  <c r="E16" i="1"/>
  <c r="G26" i="1"/>
  <c r="E28" i="1"/>
  <c r="E26" i="1"/>
  <c r="D28" i="1"/>
  <c r="D8" i="9" s="1"/>
  <c r="D11" i="9" s="1"/>
  <c r="D19" i="7"/>
  <c r="G31" i="7"/>
  <c r="G32" i="7" s="1"/>
  <c r="F16" i="7"/>
  <c r="F26" i="7"/>
  <c r="D41" i="1"/>
  <c r="D43" i="1" s="1"/>
  <c r="D44" i="4"/>
  <c r="D7" i="4" s="1"/>
  <c r="D11" i="4" s="1"/>
  <c r="D22" i="4" s="1"/>
  <c r="D40" i="4" s="1"/>
  <c r="D38" i="4" s="1"/>
  <c r="D39" i="4" s="1"/>
  <c r="C31" i="1"/>
  <c r="E26" i="7"/>
  <c r="E28" i="7"/>
  <c r="E31" i="7" s="1"/>
  <c r="D31" i="7"/>
  <c r="D32" i="7" s="1"/>
  <c r="E26" i="9" l="1"/>
  <c r="E9" i="8"/>
  <c r="E13" i="8" s="1"/>
  <c r="E8" i="9"/>
  <c r="E11" i="9" s="1"/>
  <c r="E27" i="9" s="1"/>
  <c r="G26" i="7"/>
  <c r="C46" i="7"/>
  <c r="F28" i="1"/>
  <c r="C14" i="8"/>
  <c r="C30" i="8" s="1"/>
  <c r="G26" i="9"/>
  <c r="H26" i="9"/>
  <c r="H12" i="9"/>
  <c r="C28" i="9"/>
  <c r="C20" i="9"/>
  <c r="C29" i="9" s="1"/>
  <c r="C21" i="9"/>
  <c r="D27" i="9"/>
  <c r="D12" i="9"/>
  <c r="G12" i="8"/>
  <c r="E51" i="4"/>
  <c r="D9" i="8"/>
  <c r="D13" i="8" s="1"/>
  <c r="G31" i="1"/>
  <c r="G9" i="8"/>
  <c r="H58" i="4"/>
  <c r="F16" i="4"/>
  <c r="G16" i="4" s="1"/>
  <c r="G58" i="4"/>
  <c r="G63" i="4" s="1"/>
  <c r="F58" i="4"/>
  <c r="F63" i="4" s="1"/>
  <c r="F64" i="4" s="1"/>
  <c r="F18" i="4" s="1"/>
  <c r="E44" i="4"/>
  <c r="E7" i="4" s="1"/>
  <c r="E11" i="4" s="1"/>
  <c r="E22" i="4" s="1"/>
  <c r="E40" i="4" s="1"/>
  <c r="E38" i="4" s="1"/>
  <c r="E39" i="4" s="1"/>
  <c r="H60" i="4"/>
  <c r="E10" i="5"/>
  <c r="H59" i="4"/>
  <c r="E21" i="5"/>
  <c r="E23" i="5" s="1"/>
  <c r="H51" i="4"/>
  <c r="H9" i="4" s="1"/>
  <c r="H11" i="4" s="1"/>
  <c r="G51" i="4"/>
  <c r="G9" i="4" s="1"/>
  <c r="F51" i="4"/>
  <c r="F9" i="4" s="1"/>
  <c r="F11" i="4" s="1"/>
  <c r="E31" i="1"/>
  <c r="E32" i="1" s="1"/>
  <c r="D31" i="1"/>
  <c r="D32" i="1" s="1"/>
  <c r="E41" i="1"/>
  <c r="E43" i="1" s="1"/>
  <c r="E41" i="7"/>
  <c r="E43" i="7" s="1"/>
  <c r="E45" i="7" s="1"/>
  <c r="E49" i="7" s="1"/>
  <c r="E54" i="7" s="1"/>
  <c r="D41" i="7"/>
  <c r="D43" i="7" s="1"/>
  <c r="D45" i="7" s="1"/>
  <c r="D49" i="7" s="1"/>
  <c r="D54" i="7" s="1"/>
  <c r="D55" i="7" s="1"/>
  <c r="G32" i="1"/>
  <c r="C32" i="1"/>
  <c r="C45" i="1"/>
  <c r="E32" i="7"/>
  <c r="E14" i="8" l="1"/>
  <c r="E29" i="8"/>
  <c r="C23" i="8"/>
  <c r="H20" i="9"/>
  <c r="H28" i="9"/>
  <c r="F9" i="8"/>
  <c r="F13" i="8" s="1"/>
  <c r="G8" i="9"/>
  <c r="G11" i="9" s="1"/>
  <c r="C22" i="8"/>
  <c r="C31" i="8" s="1"/>
  <c r="E12" i="9"/>
  <c r="F31" i="1"/>
  <c r="F32" i="1" s="1"/>
  <c r="G13" i="8"/>
  <c r="G29" i="8" s="1"/>
  <c r="D28" i="9"/>
  <c r="D29" i="9" s="1"/>
  <c r="D20" i="9"/>
  <c r="D21" i="9" s="1"/>
  <c r="F17" i="4"/>
  <c r="F19" i="4" s="1"/>
  <c r="F21" i="4" s="1"/>
  <c r="F22" i="4" s="1"/>
  <c r="F40" i="4" s="1"/>
  <c r="F38" i="4" s="1"/>
  <c r="F39" i="4" s="1"/>
  <c r="F11" i="5"/>
  <c r="F15" i="5" s="1"/>
  <c r="E22" i="8"/>
  <c r="E30" i="8"/>
  <c r="D6" i="5"/>
  <c r="D29" i="8"/>
  <c r="D14" i="8"/>
  <c r="G11" i="4"/>
  <c r="H63" i="4"/>
  <c r="F6" i="5" s="1"/>
  <c r="D11" i="5"/>
  <c r="D15" i="5" s="1"/>
  <c r="E45" i="1"/>
  <c r="E49" i="1" s="1"/>
  <c r="E11" i="5"/>
  <c r="E15" i="5" s="1"/>
  <c r="D45" i="1"/>
  <c r="D46" i="1" s="1"/>
  <c r="D46" i="7"/>
  <c r="F41" i="1"/>
  <c r="F43" i="1" s="1"/>
  <c r="F45" i="1" s="1"/>
  <c r="F57" i="1" s="1"/>
  <c r="F62" i="1" s="1"/>
  <c r="F41" i="7"/>
  <c r="F43" i="7" s="1"/>
  <c r="F45" i="7" s="1"/>
  <c r="C46" i="1"/>
  <c r="C49" i="1"/>
  <c r="C57" i="1"/>
  <c r="C62" i="1" s="1"/>
  <c r="C63" i="1" s="1"/>
  <c r="H16" i="4"/>
  <c r="H17" i="4" s="1"/>
  <c r="G17" i="4"/>
  <c r="E6" i="5"/>
  <c r="G64" i="4"/>
  <c r="G18" i="4" s="1"/>
  <c r="E46" i="7"/>
  <c r="E55" i="7"/>
  <c r="G14" i="8" l="1"/>
  <c r="G22" i="8" s="1"/>
  <c r="E20" i="9"/>
  <c r="E21" i="9" s="1"/>
  <c r="E28" i="9"/>
  <c r="E29" i="9" s="1"/>
  <c r="F29" i="8"/>
  <c r="F14" i="8"/>
  <c r="G27" i="9"/>
  <c r="G12" i="9"/>
  <c r="D30" i="8"/>
  <c r="D31" i="8" s="1"/>
  <c r="E31" i="8" s="1"/>
  <c r="D22" i="8"/>
  <c r="D23" i="8" s="1"/>
  <c r="E23" i="8" s="1"/>
  <c r="E57" i="1"/>
  <c r="E62" i="1" s="1"/>
  <c r="E46" i="1"/>
  <c r="D49" i="1"/>
  <c r="D51" i="1" s="1"/>
  <c r="D52" i="1" s="1"/>
  <c r="D57" i="1"/>
  <c r="D62" i="1" s="1"/>
  <c r="D63" i="1" s="1"/>
  <c r="F46" i="1"/>
  <c r="F49" i="1"/>
  <c r="F51" i="1" s="1"/>
  <c r="F52" i="1" s="1"/>
  <c r="F49" i="7"/>
  <c r="F54" i="7" s="1"/>
  <c r="F55" i="7" s="1"/>
  <c r="F46" i="7"/>
  <c r="G41" i="1"/>
  <c r="G43" i="1" s="1"/>
  <c r="G45" i="1" s="1"/>
  <c r="G41" i="7"/>
  <c r="G43" i="7" s="1"/>
  <c r="G45" i="7" s="1"/>
  <c r="H64" i="4"/>
  <c r="H18" i="4" s="1"/>
  <c r="H19" i="4" s="1"/>
  <c r="H21" i="4" s="1"/>
  <c r="H22" i="4" s="1"/>
  <c r="H40" i="4" s="1"/>
  <c r="H38" i="4" s="1"/>
  <c r="H39" i="4" s="1"/>
  <c r="C51" i="1"/>
  <c r="C52" i="1" s="1"/>
  <c r="E51" i="1"/>
  <c r="E52" i="1" s="1"/>
  <c r="G19" i="4"/>
  <c r="G21" i="4" s="1"/>
  <c r="G22" i="4" s="1"/>
  <c r="G40" i="4" s="1"/>
  <c r="G38" i="4" s="1"/>
  <c r="G39" i="4" s="1"/>
  <c r="G30" i="8" l="1"/>
  <c r="G28" i="9"/>
  <c r="G29" i="9" s="1"/>
  <c r="H29" i="9" s="1"/>
  <c r="G20" i="9"/>
  <c r="G21" i="9" s="1"/>
  <c r="H21" i="9" s="1"/>
  <c r="F22" i="8"/>
  <c r="F23" i="8" s="1"/>
  <c r="G23" i="8" s="1"/>
  <c r="F30" i="8"/>
  <c r="F31" i="8" s="1"/>
  <c r="G31" i="8" s="1"/>
  <c r="E63" i="1"/>
  <c r="F63" i="1" s="1"/>
  <c r="G46" i="7"/>
  <c r="G49" i="7"/>
  <c r="G54" i="7" s="1"/>
  <c r="G55" i="7" s="1"/>
  <c r="G46" i="1"/>
  <c r="G49" i="1"/>
  <c r="G51" i="1" s="1"/>
  <c r="G52" i="1" s="1"/>
  <c r="F5" i="5" s="1"/>
  <c r="F7" i="5" s="1"/>
  <c r="F17" i="5" s="1"/>
  <c r="F25" i="5" s="1"/>
  <c r="G57" i="1"/>
  <c r="G62" i="1" s="1"/>
  <c r="D5" i="5"/>
  <c r="D7" i="5" s="1"/>
  <c r="D17" i="5" s="1"/>
  <c r="D25" i="5" s="1"/>
  <c r="E53" i="1"/>
  <c r="B5" i="5"/>
  <c r="B7" i="5" s="1"/>
  <c r="B17" i="5" s="1"/>
  <c r="B25" i="5" s="1"/>
  <c r="B26" i="5" s="1"/>
  <c r="C53" i="1"/>
  <c r="C5" i="5"/>
  <c r="C7" i="5" s="1"/>
  <c r="C17" i="5" s="1"/>
  <c r="C25" i="5" s="1"/>
  <c r="D53" i="1"/>
  <c r="F53" i="1"/>
  <c r="E5" i="5"/>
  <c r="E7" i="5" s="1"/>
  <c r="E17" i="5" s="1"/>
  <c r="E25" i="5" s="1"/>
  <c r="G63" i="1" l="1"/>
  <c r="G53" i="1"/>
  <c r="C26" i="5"/>
  <c r="D26" i="5" s="1"/>
  <c r="E26" i="5" s="1"/>
  <c r="F26" i="5" s="1"/>
</calcChain>
</file>

<file path=xl/comments1.xml><?xml version="1.0" encoding="utf-8"?>
<comments xmlns="http://schemas.openxmlformats.org/spreadsheetml/2006/main">
  <authors>
    <author>Pete Hunt</author>
    <author>Jenny Servo</author>
    <author>Microsoft Office User</author>
  </authors>
  <commentList>
    <comment ref="B18" authorId="0" shapeId="0">
      <text>
        <r>
          <rPr>
            <b/>
            <sz val="10"/>
            <color rgb="FF000000"/>
            <rFont val="Tahoma"/>
            <family val="2"/>
          </rPr>
          <t>Pete Hunt:</t>
        </r>
        <r>
          <rPr>
            <sz val="10"/>
            <color rgb="FF000000"/>
            <rFont val="Tahoma"/>
            <family val="2"/>
          </rPr>
          <t xml:space="preserve">
</t>
        </r>
        <r>
          <rPr>
            <sz val="10"/>
            <color rgb="FF000000"/>
            <rFont val="Tahoma"/>
            <family val="2"/>
          </rPr>
          <t>Up to $50K of the $1M Phase II SBIR/STTR award can be applied towards TABA services.</t>
        </r>
      </text>
    </comment>
    <comment ref="B22" authorId="1" shapeId="0">
      <text>
        <r>
          <rPr>
            <b/>
            <sz val="9"/>
            <color rgb="FF000000"/>
            <rFont val="Geneva"/>
            <family val="2"/>
          </rPr>
          <t>Develop an associated parts and materials list to substantiate</t>
        </r>
        <r>
          <rPr>
            <sz val="9"/>
            <color rgb="FF000000"/>
            <rFont val="Geneva"/>
            <family val="2"/>
          </rPr>
          <t xml:space="preserve">
</t>
        </r>
      </text>
    </comment>
    <comment ref="B23" authorId="1" shapeId="0">
      <text>
        <r>
          <rPr>
            <b/>
            <sz val="9"/>
            <color rgb="FF000000"/>
            <rFont val="Geneva"/>
            <family val="2"/>
          </rPr>
          <t>Develop headcount table associated with production staff, indicating % time spent on this product</t>
        </r>
        <r>
          <rPr>
            <sz val="9"/>
            <color rgb="FF000000"/>
            <rFont val="Geneva"/>
            <family val="2"/>
          </rPr>
          <t xml:space="preserve">
</t>
        </r>
        <r>
          <rPr>
            <sz val="9"/>
            <color rgb="FF000000"/>
            <rFont val="Geneva"/>
            <family val="2"/>
          </rPr>
          <t xml:space="preserve">
</t>
        </r>
        <r>
          <rPr>
            <sz val="9"/>
            <color rgb="FF000000"/>
            <rFont val="Geneva"/>
            <family val="2"/>
          </rPr>
          <t>DO NOT INCLUDE EQUIPMENT DEPRECIATION</t>
        </r>
      </text>
    </comment>
    <comment ref="B24" authorId="1" shapeId="0">
      <text>
        <r>
          <rPr>
            <b/>
            <sz val="9"/>
            <color rgb="FF000000"/>
            <rFont val="Geneva"/>
            <family val="2"/>
          </rPr>
          <t>Obligations based on licensing-in technology (i.e., from a university or another company)</t>
        </r>
        <r>
          <rPr>
            <sz val="9"/>
            <color rgb="FF000000"/>
            <rFont val="Geneva"/>
            <family val="2"/>
          </rPr>
          <t xml:space="preserve">
</t>
        </r>
      </text>
    </comment>
    <comment ref="B26" authorId="1" shapeId="0">
      <text>
        <r>
          <rPr>
            <b/>
            <sz val="9"/>
            <color rgb="FF000000"/>
            <rFont val="Geneva"/>
            <family val="2"/>
          </rPr>
          <t>Total COGS/ # units</t>
        </r>
        <r>
          <rPr>
            <sz val="9"/>
            <color rgb="FF000000"/>
            <rFont val="Geneva"/>
            <family val="2"/>
          </rPr>
          <t xml:space="preserve">
</t>
        </r>
      </text>
    </comment>
    <comment ref="B35" authorId="2" shapeId="0">
      <text>
        <r>
          <rPr>
            <sz val="10"/>
            <color rgb="FF000000"/>
            <rFont val="Calibri"/>
            <family val="2"/>
          </rPr>
          <t xml:space="preserve">Net of 10% fee on direct + indirect expenses.
</t>
        </r>
        <r>
          <rPr>
            <sz val="10"/>
            <color rgb="FF000000"/>
            <rFont val="Calibri"/>
            <family val="2"/>
          </rPr>
          <t xml:space="preserve">
</t>
        </r>
        <r>
          <rPr>
            <sz val="10"/>
            <color rgb="FF000000"/>
            <rFont val="Calibri"/>
            <family val="2"/>
          </rPr>
          <t>Note:  The total amount of the budget (including fee) cannot exceed $1M.</t>
        </r>
      </text>
    </comment>
    <comment ref="B46" authorId="1" shapeId="0">
      <text>
        <r>
          <rPr>
            <b/>
            <sz val="9"/>
            <color indexed="81"/>
            <rFont val="Geneva"/>
            <family val="2"/>
          </rPr>
          <t>EBITDA/Production Revenue</t>
        </r>
        <r>
          <rPr>
            <sz val="9"/>
            <color indexed="81"/>
            <rFont val="Geneva"/>
            <family val="2"/>
          </rPr>
          <t xml:space="preserve">
this row is the operating margin % to be used in row 28 of the DOE ROI worksheet</t>
        </r>
      </text>
    </comment>
    <comment ref="B53" authorId="2" shapeId="0">
      <text>
        <r>
          <rPr>
            <sz val="10"/>
            <color rgb="FF000000"/>
            <rFont val="Calibri"/>
            <family val="2"/>
          </rPr>
          <t xml:space="preserve">Investment can come from outside investor(s) or from internal company funds
</t>
        </r>
      </text>
    </comment>
  </commentList>
</comments>
</file>

<file path=xl/comments2.xml><?xml version="1.0" encoding="utf-8"?>
<comments xmlns="http://schemas.openxmlformats.org/spreadsheetml/2006/main">
  <authors>
    <author>Jenny Servo</author>
  </authors>
  <commentList>
    <comment ref="F15" authorId="0" shapeId="0">
      <text>
        <r>
          <rPr>
            <b/>
            <sz val="9"/>
            <color indexed="81"/>
            <rFont val="Geneva"/>
            <family val="2"/>
          </rPr>
          <t>20% of sales</t>
        </r>
        <r>
          <rPr>
            <sz val="9"/>
            <color indexed="81"/>
            <rFont val="Geneva"/>
            <family val="2"/>
          </rPr>
          <t xml:space="preserve">
</t>
        </r>
      </text>
    </comment>
    <comment ref="F18" authorId="0" shapeId="0">
      <text>
        <r>
          <rPr>
            <b/>
            <sz val="9"/>
            <color indexed="81"/>
            <rFont val="Geneva"/>
            <family val="2"/>
          </rPr>
          <t>20% of sales</t>
        </r>
        <r>
          <rPr>
            <sz val="9"/>
            <color indexed="81"/>
            <rFont val="Geneva"/>
            <family val="2"/>
          </rPr>
          <t xml:space="preserve">
</t>
        </r>
      </text>
    </comment>
    <comment ref="F21" authorId="0" shapeId="0">
      <text>
        <r>
          <rPr>
            <b/>
            <sz val="9"/>
            <color indexed="81"/>
            <rFont val="Geneva"/>
            <family val="2"/>
          </rPr>
          <t>20% of sales</t>
        </r>
        <r>
          <rPr>
            <sz val="9"/>
            <color indexed="81"/>
            <rFont val="Geneva"/>
            <family val="2"/>
          </rPr>
          <t xml:space="preserve">
</t>
        </r>
      </text>
    </comment>
    <comment ref="F22" authorId="0" shapeId="0">
      <text>
        <r>
          <rPr>
            <b/>
            <sz val="9"/>
            <color indexed="81"/>
            <rFont val="Geneva"/>
            <family val="2"/>
          </rPr>
          <t>20% of sales</t>
        </r>
        <r>
          <rPr>
            <sz val="9"/>
            <color indexed="81"/>
            <rFont val="Geneva"/>
            <family val="2"/>
          </rPr>
          <t xml:space="preserve">
</t>
        </r>
      </text>
    </comment>
  </commentList>
</comments>
</file>

<file path=xl/comments3.xml><?xml version="1.0" encoding="utf-8"?>
<comments xmlns="http://schemas.openxmlformats.org/spreadsheetml/2006/main">
  <authors>
    <author>Pete Hunt</author>
    <author>Jenny Servo</author>
    <author>Microsoft Office User</author>
  </authors>
  <commentList>
    <comment ref="B18" authorId="0" shapeId="0">
      <text>
        <r>
          <rPr>
            <b/>
            <sz val="10"/>
            <color rgb="FF000000"/>
            <rFont val="Tahoma"/>
            <family val="2"/>
          </rPr>
          <t>Pete Hunt:</t>
        </r>
        <r>
          <rPr>
            <sz val="10"/>
            <color rgb="FF000000"/>
            <rFont val="Tahoma"/>
            <family val="2"/>
          </rPr>
          <t xml:space="preserve">
</t>
        </r>
        <r>
          <rPr>
            <sz val="10"/>
            <color rgb="FF000000"/>
            <rFont val="Verdana"/>
            <family val="2"/>
          </rPr>
          <t>Up to $50K of the $1M SBIR/STTR Phase II award can be applied towards TABA services.</t>
        </r>
      </text>
    </comment>
    <comment ref="B22" authorId="1" shapeId="0">
      <text>
        <r>
          <rPr>
            <b/>
            <sz val="9"/>
            <color indexed="81"/>
            <rFont val="Geneva"/>
            <family val="2"/>
          </rPr>
          <t>Develop an associated parts and materials list to substantiate</t>
        </r>
        <r>
          <rPr>
            <sz val="9"/>
            <color indexed="81"/>
            <rFont val="Geneva"/>
            <family val="2"/>
          </rPr>
          <t xml:space="preserve">
</t>
        </r>
      </text>
    </comment>
    <comment ref="B23" authorId="1" shapeId="0">
      <text>
        <r>
          <rPr>
            <b/>
            <sz val="9"/>
            <color indexed="81"/>
            <rFont val="Geneva"/>
            <family val="2"/>
          </rPr>
          <t>Develop headcount table associated with production staff, indicating % time spent on this product</t>
        </r>
        <r>
          <rPr>
            <sz val="9"/>
            <color indexed="81"/>
            <rFont val="Geneva"/>
            <family val="2"/>
          </rPr>
          <t xml:space="preserve">
</t>
        </r>
      </text>
    </comment>
    <comment ref="B24" authorId="1" shapeId="0">
      <text>
        <r>
          <rPr>
            <b/>
            <sz val="9"/>
            <color rgb="FF000000"/>
            <rFont val="Geneva"/>
            <family val="2"/>
          </rPr>
          <t>Obligations based on licensing-in technology (i.e., from a university or another company)</t>
        </r>
        <r>
          <rPr>
            <sz val="9"/>
            <color rgb="FF000000"/>
            <rFont val="Geneva"/>
            <family val="2"/>
          </rPr>
          <t xml:space="preserve">
</t>
        </r>
      </text>
    </comment>
    <comment ref="B26" authorId="1" shapeId="0">
      <text>
        <r>
          <rPr>
            <b/>
            <sz val="9"/>
            <color rgb="FF000000"/>
            <rFont val="Geneva"/>
            <family val="2"/>
          </rPr>
          <t>Total COGS/ # units</t>
        </r>
        <r>
          <rPr>
            <sz val="9"/>
            <color rgb="FF000000"/>
            <rFont val="Geneva"/>
            <family val="2"/>
          </rPr>
          <t xml:space="preserve">
</t>
        </r>
      </text>
    </comment>
    <comment ref="B35" authorId="2" shapeId="0">
      <text>
        <r>
          <rPr>
            <sz val="10"/>
            <color rgb="FF000000"/>
            <rFont val="Calibri"/>
            <family val="2"/>
          </rPr>
          <t xml:space="preserve">Net of 10% fee on direct + indirect expenses.
</t>
        </r>
        <r>
          <rPr>
            <sz val="10"/>
            <color rgb="FF000000"/>
            <rFont val="Calibri"/>
            <family val="2"/>
          </rPr>
          <t xml:space="preserve">
</t>
        </r>
        <r>
          <rPr>
            <sz val="10"/>
            <color rgb="FF000000"/>
            <rFont val="Calibri"/>
            <family val="2"/>
          </rPr>
          <t xml:space="preserve">NOTE:  </t>
        </r>
        <r>
          <rPr>
            <sz val="10"/>
            <color rgb="FF000000"/>
            <rFont val="Verdana"/>
            <family val="2"/>
          </rPr>
          <t xml:space="preserve">The total amount of the budget (including fee) cannot exceed $1M
</t>
        </r>
      </text>
    </comment>
    <comment ref="B46" authorId="1" shapeId="0">
      <text>
        <r>
          <rPr>
            <b/>
            <sz val="9"/>
            <color indexed="81"/>
            <rFont val="Geneva"/>
            <family val="2"/>
          </rPr>
          <t>EBIT/Production Revenue</t>
        </r>
        <r>
          <rPr>
            <sz val="9"/>
            <color indexed="81"/>
            <rFont val="Geneva"/>
            <family val="2"/>
          </rPr>
          <t xml:space="preserve">
this row is the operating margin % to be used in row 28 of the DOE ROI worksheet</t>
        </r>
      </text>
    </comment>
    <comment ref="B61" authorId="2" shapeId="0">
      <text>
        <r>
          <rPr>
            <sz val="10"/>
            <color rgb="FF000000"/>
            <rFont val="Calibri"/>
            <family val="2"/>
          </rPr>
          <t xml:space="preserve">Investment can come from outside investor(s) or from internal company funds
</t>
        </r>
      </text>
    </comment>
  </commentList>
</comments>
</file>

<file path=xl/sharedStrings.xml><?xml version="1.0" encoding="utf-8"?>
<sst xmlns="http://schemas.openxmlformats.org/spreadsheetml/2006/main" count="403" uniqueCount="273">
  <si>
    <t>The other expenses are a % of the total company expenses associated with this product, and represent the proportion spent on support of the GenPro product. Sales were initially done exclusively by the company President who did not spend a lot of time on this endeavor. Support staff also spent some of their time supporting this initiative. The expenses on the sales/marketing line in Year 1 are the costs associated with attending 1 trade show and producing a short-run of publicity materials. In year 3, a VP of Sales was added. His salary, anticipated commission and marketing expenses were added to the Sales/Marketing line in year 3. With respect to internal R&amp;D, as the number of units to be sold increased, the amount invested in development of new processes to produce the product in a more cost effective way increased and then dropped. Contract R&amp;D associated with this product ended at the end of Year 1, and the company increased its IR&amp;D</t>
  </si>
  <si>
    <t>Receivables</t>
  </si>
  <si>
    <t xml:space="preserve">Land </t>
  </si>
  <si>
    <t>value of initial stock at time of issue</t>
  </si>
  <si>
    <t>During Year 1: The GenPro products were produced in-house by the engineers who had worked on the design during the SBIR contract work. Production of the first 5 units was NOT done with SBIR funding and required about 20% of their time. XYZ quickly recognized that it would be too expensive to use these engineers during scale up. Therefore, a mechanic and a production engineer were hired during year 2, who were 50% engaged in this product. During year 3, this same team would work 100% time on production of this product. In year 5 an additional production engineer and machine shop personnel were added (all working 100% time).</t>
  </si>
  <si>
    <t xml:space="preserve">In the production of GenPro a process was used that was exclusively licensed(in) from the unversity with which the company had an on-going relationship. </t>
  </si>
  <si>
    <t>Tax rate</t>
  </si>
  <si>
    <t>Collection period (days)</t>
  </si>
  <si>
    <t>Payables period (days)</t>
  </si>
  <si>
    <t>Cash from operations</t>
  </si>
  <si>
    <t>Account payables</t>
  </si>
  <si>
    <t>Other current liabilities</t>
  </si>
  <si>
    <t>Long -Term Debt</t>
  </si>
  <si>
    <t>Other long term liabilities</t>
  </si>
  <si>
    <t>Deferred income taxes</t>
  </si>
  <si>
    <t>Total Liabilities</t>
  </si>
  <si>
    <t>Retained earnings</t>
  </si>
  <si>
    <t>Total Liabilities and Equity</t>
  </si>
  <si>
    <t>YR1</t>
  </si>
  <si>
    <t>YR2</t>
  </si>
  <si>
    <t>YR3</t>
  </si>
  <si>
    <t>accumulated depreciation</t>
  </si>
  <si>
    <t>Cash as % of sales</t>
  </si>
  <si>
    <t>Inventory turnover x</t>
  </si>
  <si>
    <t xml:space="preserve">Add-depreciation </t>
  </si>
  <si>
    <t>Net cash flow from income</t>
  </si>
  <si>
    <t>Cash provided (used) by</t>
  </si>
  <si>
    <t>operating  activities</t>
  </si>
  <si>
    <t>Accounts receivable (1)</t>
  </si>
  <si>
    <t>Inventory (1)</t>
  </si>
  <si>
    <t>Other current assets (1)</t>
  </si>
  <si>
    <t>Account payables (2)</t>
  </si>
  <si>
    <t>Other current liabilities (2)</t>
  </si>
  <si>
    <t xml:space="preserve">    Total change in working capital</t>
  </si>
  <si>
    <t>Net cash flow from operations</t>
  </si>
  <si>
    <t>Investment transactions</t>
  </si>
  <si>
    <t>Increases (decreases)</t>
  </si>
  <si>
    <t>Capital spend (building &amp; equip)</t>
  </si>
  <si>
    <t>Net cash used in investments</t>
  </si>
  <si>
    <t>Free cash flow from operations</t>
  </si>
  <si>
    <t>Cumulative cash flow</t>
  </si>
  <si>
    <t xml:space="preserve">1) Delta  increase in these balance sheet accounts from prior year is a use of cash. </t>
  </si>
  <si>
    <t>2) Delta increase in these balance sheet accounts from prior year is a  source of cash.</t>
  </si>
  <si>
    <t>inventory $</t>
  </si>
  <si>
    <t>Cash$</t>
  </si>
  <si>
    <t>Avg days sales</t>
  </si>
  <si>
    <t>Change in sales</t>
  </si>
  <si>
    <t>capital investment rate as % of sales change</t>
  </si>
  <si>
    <t>% dep</t>
  </si>
  <si>
    <t>depreciation</t>
  </si>
  <si>
    <t>Cum depreciation</t>
  </si>
  <si>
    <t>Avg days purchases</t>
  </si>
  <si>
    <t>Payables</t>
  </si>
  <si>
    <t>Taxes</t>
  </si>
  <si>
    <t>Net income</t>
  </si>
  <si>
    <t>Total GM$</t>
  </si>
  <si>
    <t>COGS consulting or after sale service</t>
  </si>
  <si>
    <t>COGS (per unit)</t>
  </si>
  <si>
    <t>Total COGS new product</t>
  </si>
  <si>
    <t>Total Gross Margin %</t>
  </si>
  <si>
    <t>Total revenue</t>
  </si>
  <si>
    <t xml:space="preserve">capital investment </t>
  </si>
  <si>
    <t>Net income as %/sales</t>
  </si>
  <si>
    <t>Model inputs</t>
  </si>
  <si>
    <t>Pro Forma</t>
  </si>
  <si>
    <t>Total fixed assets</t>
  </si>
  <si>
    <t>Liabilities and Shareholders' Equity</t>
  </si>
  <si>
    <t>Total long term liabilities</t>
  </si>
  <si>
    <t>Buildings</t>
  </si>
  <si>
    <t>Phase II (Yr 1)</t>
  </si>
  <si>
    <t>Building</t>
  </si>
  <si>
    <t>PII YR2</t>
  </si>
  <si>
    <t>PII YR1</t>
  </si>
  <si>
    <t>A parts and materials list was generated that provide the basis for the materials costs</t>
  </si>
  <si>
    <t xml:space="preserve">Sales Head Count Requirements     </t>
  </si>
  <si>
    <t>Depreciation</t>
  </si>
  <si>
    <t>% dep yr 1 capital</t>
  </si>
  <si>
    <t>% dep yr 2 capital</t>
  </si>
  <si>
    <t>% dep yr 3 capital</t>
  </si>
  <si>
    <t>% dep yr 4 capital</t>
  </si>
  <si>
    <t>% dep yr 5 capital</t>
  </si>
  <si>
    <t>Pro Forma Balance Sheet - Manufacturing example</t>
  </si>
  <si>
    <t>Current Assets</t>
  </si>
  <si>
    <t xml:space="preserve"> Shareholders' Equity</t>
  </si>
  <si>
    <t>XYZ Corporation has historically been a contract R&amp;D firm and has never been involved with either manufacturing or sales. XYZ wants to test the waters with this product (their first). GenPro (stands for Generic Product),  a manufactured item that will be sold directly to the power generation market. The selling price of the product is based on market comparisons. The company has a machine shop and can do small quantity production in-house. Therefore, their goal is to start small and use their existing resources. XYZ corporation has had significant SBIR/STTR/ATP investment in the technology platform. Their intent is to commercialize other products from this technology platform using a variety of commercialization strategies.</t>
  </si>
  <si>
    <t>Section 3</t>
  </si>
  <si>
    <t>Year 1</t>
  </si>
  <si>
    <t>Year 2</t>
  </si>
  <si>
    <t>Year 3</t>
  </si>
  <si>
    <t>Year 4</t>
  </si>
  <si>
    <t>Year 5</t>
  </si>
  <si>
    <t>NA</t>
  </si>
  <si>
    <t>Units expected to be sold</t>
  </si>
  <si>
    <t>$ avg selling price of total product</t>
  </si>
  <si>
    <t>New product sales</t>
  </si>
  <si>
    <t>Consulting or aftersale services</t>
  </si>
  <si>
    <t>Cost of Goods Sold (COGS)</t>
  </si>
  <si>
    <t>Material</t>
  </si>
  <si>
    <t>Labor</t>
  </si>
  <si>
    <t>Licensing &amp; Royalties</t>
  </si>
  <si>
    <t>Total COGS</t>
  </si>
  <si>
    <t>Gross Margin</t>
  </si>
  <si>
    <t>Other Expenses</t>
  </si>
  <si>
    <t>Administrative (G&amp;A)</t>
  </si>
  <si>
    <t>Internal R&amp;D</t>
  </si>
  <si>
    <t>Legal</t>
  </si>
  <si>
    <t xml:space="preserve">Facilities </t>
  </si>
  <si>
    <t>Dec  31st</t>
  </si>
  <si>
    <t>Assets</t>
  </si>
  <si>
    <t>Accounts receivable</t>
  </si>
  <si>
    <t>Inventory</t>
  </si>
  <si>
    <t>Other current assets</t>
  </si>
  <si>
    <t>Total Current Assets</t>
  </si>
  <si>
    <t>Fixed Assets</t>
  </si>
  <si>
    <t>Equipment</t>
  </si>
  <si>
    <t>Subtotal</t>
  </si>
  <si>
    <t>Net Property Plant and Equip.</t>
  </si>
  <si>
    <t>Other assets</t>
  </si>
  <si>
    <t>Total Assets</t>
  </si>
  <si>
    <t>Current Liabilities</t>
  </si>
  <si>
    <t>Short term debt</t>
  </si>
  <si>
    <t>Phase II yr 1&amp;2 capital dep</t>
  </si>
  <si>
    <t>Long term Liabilities</t>
  </si>
  <si>
    <t xml:space="preserve"> Total Current Liabilities</t>
  </si>
  <si>
    <t>Shareholders Equity</t>
  </si>
  <si>
    <t>Total Cash Flow</t>
  </si>
  <si>
    <t>Building a Pro Forma Balance sheet</t>
  </si>
  <si>
    <t>Pro Forma Cash Flow Statement - Manufacturing example</t>
  </si>
  <si>
    <t xml:space="preserve">operating cash </t>
  </si>
  <si>
    <t>Legal fees include patent filings in Year 1 and 3 estimated to be $15,000 each and other costs associated with related commercial contracts. With respect to facility costs, the company did not outgrow its existing space but did need to add new equipment in year 3.</t>
  </si>
  <si>
    <t>Sales</t>
  </si>
  <si>
    <t>Marketing</t>
  </si>
  <si>
    <t>Production Revenue (Sales - Product)</t>
  </si>
  <si>
    <t>SBIR/STTR Contract R&amp;D</t>
  </si>
  <si>
    <t>Total Production sales (Revenue)</t>
  </si>
  <si>
    <t>Royalties</t>
  </si>
  <si>
    <t>Section 5</t>
  </si>
  <si>
    <t>Assumptions accompanying financials, organized by section</t>
  </si>
  <si>
    <t>Market</t>
  </si>
  <si>
    <t>Section 1</t>
  </si>
  <si>
    <t>Section 2</t>
  </si>
  <si>
    <t>Production Revenue</t>
  </si>
  <si>
    <t>Direct</t>
  </si>
  <si>
    <t>Headcount</t>
  </si>
  <si>
    <t>Base Salary</t>
  </si>
  <si>
    <t>Total cost</t>
  </si>
  <si>
    <t>President</t>
  </si>
  <si>
    <t>Same</t>
  </si>
  <si>
    <t>VP, Sales</t>
  </si>
  <si>
    <t>President is G&amp;A: assume 5% time on sales</t>
  </si>
  <si>
    <t>Assume 10% time spent on sales</t>
  </si>
  <si>
    <t>Incentive %</t>
  </si>
  <si>
    <t>Incentive $</t>
  </si>
  <si>
    <t>Sales men</t>
  </si>
  <si>
    <t>Assume 15% time on relationships and bonus for corporate growth</t>
  </si>
  <si>
    <t>The company is 8 years old and prior to this time had 90% of its income come from science-for-hire contracts from the federal government. For this reason the company's accounting system was set up for government accounting and was divided into Direct Labor, G&amp;A, OH, and Fee. XYZ recognizes that as it shifts to being a commercial product company, it must also represent its financials in a manner consistent with commercial practices. The COGS calculation is based on the expenses associated with this particular product. These costs are highlighted below</t>
  </si>
  <si>
    <t>Manufacturing</t>
  </si>
  <si>
    <t>Income before tax (EBT)</t>
  </si>
  <si>
    <t xml:space="preserve"> Operating Expenses</t>
  </si>
  <si>
    <t>Total Operating Expenses</t>
  </si>
  <si>
    <t>Total Selling General and Administrative</t>
  </si>
  <si>
    <t>Gross Margin*</t>
  </si>
  <si>
    <t>Cash Proxy</t>
  </si>
  <si>
    <t>Net Addition (Subtraction) from Cash</t>
  </si>
  <si>
    <t>Year-End Cash Proxy</t>
  </si>
  <si>
    <t>(Add back depreciation)</t>
  </si>
  <si>
    <t>EBITDA</t>
  </si>
  <si>
    <t>&lt;= EBITDA is earnings before interest, taxes, depreciation, and amortization - it is a close proxy for cash flow from operations</t>
  </si>
  <si>
    <t>- Capital Expenditures</t>
  </si>
  <si>
    <t>- Loan Payments</t>
  </si>
  <si>
    <t>+ Matching Grants</t>
  </si>
  <si>
    <t>+ Investments (Paid in Capital)</t>
  </si>
  <si>
    <t>&lt;= Enter depreciation as a positive number here</t>
  </si>
  <si>
    <t>&lt;= If you're repaying a loan, this would go here</t>
  </si>
  <si>
    <t>&lt;= This line should be positive for all years!</t>
  </si>
  <si>
    <t>&lt;= Investment(s) you're making</t>
  </si>
  <si>
    <t>&lt;= This will be the investments you need to raise to make sure you have adequate cash at the end of the year</t>
  </si>
  <si>
    <t>*Memo: depreciation not included in Gross Margin</t>
  </si>
  <si>
    <t>(Cash proxy is optional to include, but encouraged if you need to raise significant investment)</t>
  </si>
  <si>
    <t>&lt;= You can either include matching state grants in your revenue line above or here</t>
  </si>
  <si>
    <t>Operating Profit (EBIT)</t>
  </si>
  <si>
    <t>EBIT Margin % (Operating Margin %)</t>
  </si>
  <si>
    <t>EBITDA Margin % (operating margin)</t>
  </si>
  <si>
    <t>Market Growth Rate</t>
  </si>
  <si>
    <t xml:space="preserve">Served Available Market size </t>
  </si>
  <si>
    <t>NOTE: This sheet references the "ProForma income - Full" sheet</t>
  </si>
  <si>
    <t>Phase II (2021)</t>
  </si>
  <si>
    <t>% market share - total market</t>
  </si>
  <si>
    <t>Phase II (2022)</t>
  </si>
  <si>
    <t>For years 2021 to 2025</t>
  </si>
  <si>
    <t>Total Revenue</t>
  </si>
  <si>
    <t>Pro Forma Income Statement - Manufacturing</t>
  </si>
  <si>
    <t>TABA Services</t>
  </si>
  <si>
    <t>SBIR/STTR &amp; TABA Expenses (Direct &amp; Indirect)</t>
  </si>
  <si>
    <t>The served available market for the product (CytoSpectrum) was previously calculated based on external market forecasts and information found to reasonably project the rate of market growth.</t>
  </si>
  <si>
    <t>Miftek Corporation</t>
  </si>
  <si>
    <t>COGS</t>
  </si>
  <si>
    <t>SG&amp;A</t>
  </si>
  <si>
    <t>R&amp;D</t>
  </si>
  <si>
    <t>Investor Capital</t>
  </si>
  <si>
    <t>Matching Grants</t>
  </si>
  <si>
    <t>Additional Sources Needed</t>
  </si>
  <si>
    <t>Total</t>
  </si>
  <si>
    <t>Units Sold</t>
  </si>
  <si>
    <t>Avg. Selling Price</t>
  </si>
  <si>
    <t>Total Expense</t>
  </si>
  <si>
    <t>Other Revenue (Grants)</t>
  </si>
  <si>
    <t>Cash Balance (Estimated)</t>
  </si>
  <si>
    <t>Cash Adjustments</t>
  </si>
  <si>
    <t>(estimated, pre-additional sources)</t>
  </si>
  <si>
    <t>Cumulative Cash / (Funding Need)</t>
  </si>
  <si>
    <t>Note taxes likely will be lower in out years due to losses carried forward</t>
  </si>
  <si>
    <t>Manual in years 1-3, 15% of sales in years 3-4</t>
  </si>
  <si>
    <t>Manual in years 1-3, 5% of sales in years 3-4</t>
  </si>
  <si>
    <t>Manual in years 1-4, 10% of sales in years 3-4</t>
  </si>
  <si>
    <t>Purdue royalty at 2% of gross sales</t>
  </si>
  <si>
    <t>100 Unit BOM at $35K/unit</t>
  </si>
  <si>
    <t>100 Unit BOM at $15K/unit</t>
  </si>
  <si>
    <t xml:space="preserve">Manual </t>
  </si>
  <si>
    <t>Manual</t>
  </si>
  <si>
    <t>Potential additional revenue for consulting/services/licensing?</t>
  </si>
  <si>
    <t>Source</t>
  </si>
  <si>
    <t>SBIR</t>
  </si>
  <si>
    <t>Contract R&amp;D</t>
  </si>
  <si>
    <t>Consulting</t>
  </si>
  <si>
    <t>Services</t>
  </si>
  <si>
    <t>PDS100</t>
  </si>
  <si>
    <t>Revenue from Sales</t>
  </si>
  <si>
    <t>Revenue from Licenses</t>
  </si>
  <si>
    <t>SPS100</t>
  </si>
  <si>
    <t>CytoSpectrum</t>
  </si>
  <si>
    <t>TOTAL Cash Flows</t>
  </si>
  <si>
    <t>2018-2020</t>
  </si>
  <si>
    <t>Milestone</t>
  </si>
  <si>
    <t>Timeframe</t>
  </si>
  <si>
    <t>Financing</t>
  </si>
  <si>
    <t>Custom Chip Cooling</t>
  </si>
  <si>
    <t>42 ch sensor module</t>
  </si>
  <si>
    <t>42 Ch coax cabling</t>
  </si>
  <si>
    <t>Modified FPGA board</t>
  </si>
  <si>
    <t xml:space="preserve">Board for temp/bias cont </t>
  </si>
  <si>
    <t>Electronics Back plane</t>
  </si>
  <si>
    <t>Spectrometer Redesign</t>
  </si>
  <si>
    <t>Flow Chamber</t>
  </si>
  <si>
    <t xml:space="preserve">Laser Module </t>
  </si>
  <si>
    <t>Konbata software</t>
  </si>
  <si>
    <t>Additional Electronics</t>
  </si>
  <si>
    <t>Sales Marketing, Service</t>
  </si>
  <si>
    <t xml:space="preserve">Additional Software </t>
  </si>
  <si>
    <t>Additional Fluidics</t>
  </si>
  <si>
    <t>3 months</t>
  </si>
  <si>
    <t>8 months</t>
  </si>
  <si>
    <t>2 months</t>
  </si>
  <si>
    <t>4 months</t>
  </si>
  <si>
    <t>6 months</t>
  </si>
  <si>
    <t>5 months</t>
  </si>
  <si>
    <t>15 months</t>
  </si>
  <si>
    <t>Phase II</t>
  </si>
  <si>
    <t>Miftek Consult fees</t>
  </si>
  <si>
    <t>Partner investor</t>
  </si>
  <si>
    <t>Partner Investor</t>
  </si>
  <si>
    <t>Units Sold (CytoSpectrum)</t>
  </si>
  <si>
    <t>Sales (CytoSpectrum)</t>
  </si>
  <si>
    <t>Other Product Sales (PDS100/SPS100)</t>
  </si>
  <si>
    <t>COGS (CytoSpectrum)</t>
  </si>
  <si>
    <t>COGS (PDS100/SPS100)</t>
  </si>
  <si>
    <t>Manual in years 1-4, 10% of sales in year 5</t>
  </si>
  <si>
    <t>Total R&amp;D</t>
  </si>
  <si>
    <t xml:space="preserve">2021 </t>
  </si>
  <si>
    <t>2022</t>
  </si>
  <si>
    <t>2023</t>
  </si>
  <si>
    <t>Funding Requirement</t>
  </si>
  <si>
    <t>36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</si>
</sst>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0.0%"/>
    <numFmt numFmtId="166" formatCode="_(* #,##0_);_(* \(#,##0\);_(* &quot;-&quot;??_);_(@_)"/>
    <numFmt numFmtId="167" formatCode="_(&quot;$&quot;* #,##0_);_(&quot;$&quot;* \(#,##0\);_(&quot;$&quot;* &quot;-&quot;??_);_(@_)"/>
  </numFmts>
  <fonts count="55">
    <font>
      <sz val="10"/>
      <name val="Verdana"/>
    </font>
    <font>
      <b/>
      <sz val="10"/>
      <name val="Verdana"/>
      <family val="2"/>
    </font>
    <font>
      <sz val="10"/>
      <name val="Verdana"/>
      <family val="2"/>
    </font>
    <font>
      <u/>
      <sz val="10"/>
      <color indexed="12"/>
      <name val="Verdana"/>
      <family val="2"/>
    </font>
    <font>
      <sz val="18"/>
      <color indexed="9"/>
      <name val="Verdana"/>
      <family val="2"/>
    </font>
    <font>
      <b/>
      <sz val="12"/>
      <color indexed="9"/>
      <name val="Verdana"/>
      <family val="2"/>
    </font>
    <font>
      <b/>
      <sz val="12"/>
      <color indexed="9"/>
      <name val="Arial"/>
      <family val="2"/>
    </font>
    <font>
      <b/>
      <sz val="14"/>
      <name val="Verdana"/>
      <family val="2"/>
    </font>
    <font>
      <sz val="10"/>
      <color indexed="9"/>
      <name val="Verdana"/>
      <family val="2"/>
    </font>
    <font>
      <b/>
      <sz val="12"/>
      <name val="Verdana"/>
      <family val="2"/>
    </font>
    <font>
      <sz val="9"/>
      <color indexed="81"/>
      <name val="Geneva"/>
      <family val="2"/>
    </font>
    <font>
      <b/>
      <sz val="9"/>
      <color indexed="81"/>
      <name val="Geneva"/>
      <family val="2"/>
    </font>
    <font>
      <sz val="10"/>
      <color indexed="12"/>
      <name val="Verdana"/>
      <family val="2"/>
    </font>
    <font>
      <b/>
      <sz val="10"/>
      <color indexed="9"/>
      <name val="Verdana"/>
      <family val="2"/>
    </font>
    <font>
      <b/>
      <sz val="12"/>
      <color indexed="8"/>
      <name val="Arial"/>
      <family val="2"/>
    </font>
    <font>
      <sz val="8"/>
      <name val="Verdana"/>
      <family val="2"/>
    </font>
    <font>
      <b/>
      <sz val="10"/>
      <name val="Verdana"/>
      <family val="2"/>
    </font>
    <font>
      <b/>
      <sz val="10"/>
      <color indexed="9"/>
      <name val="Verdana"/>
      <family val="2"/>
    </font>
    <font>
      <b/>
      <sz val="12"/>
      <color indexed="9"/>
      <name val="Verdana"/>
      <family val="2"/>
    </font>
    <font>
      <b/>
      <sz val="14"/>
      <color indexed="9"/>
      <name val="Verdana"/>
      <family val="2"/>
    </font>
    <font>
      <b/>
      <sz val="18"/>
      <color indexed="9"/>
      <name val="Verdana"/>
      <family val="2"/>
    </font>
    <font>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tint="0.34998626667073579"/>
      <name val="Verdana"/>
      <family val="2"/>
    </font>
    <font>
      <sz val="10"/>
      <color theme="1" tint="0.34998626667073579"/>
      <name val="Verdana"/>
      <family val="2"/>
    </font>
    <font>
      <u/>
      <sz val="10"/>
      <color theme="11"/>
      <name val="Verdana"/>
      <family val="2"/>
    </font>
    <font>
      <b/>
      <sz val="12"/>
      <color theme="0"/>
      <name val="Verdana"/>
      <family val="2"/>
    </font>
    <font>
      <sz val="10"/>
      <color rgb="FFFF0000"/>
      <name val="Verdana"/>
      <family val="2"/>
    </font>
    <font>
      <b/>
      <sz val="9"/>
      <color rgb="FF000000"/>
      <name val="Geneva"/>
      <family val="2"/>
    </font>
    <font>
      <sz val="9"/>
      <color rgb="FF000000"/>
      <name val="Geneva"/>
      <family val="2"/>
    </font>
    <font>
      <sz val="10"/>
      <color rgb="FF000000"/>
      <name val="Calibri"/>
      <family val="2"/>
    </font>
    <font>
      <sz val="10"/>
      <color theme="1"/>
      <name val="Verdana"/>
      <family val="2"/>
    </font>
    <font>
      <sz val="10"/>
      <color rgb="FF000000"/>
      <name val="Tahoma"/>
      <family val="2"/>
    </font>
    <font>
      <b/>
      <sz val="10"/>
      <color rgb="FF000000"/>
      <name val="Tahoma"/>
      <family val="2"/>
    </font>
    <font>
      <sz val="10"/>
      <color rgb="FF000000"/>
      <name val="Verdana"/>
      <family val="2"/>
    </font>
    <font>
      <i/>
      <sz val="10"/>
      <name val="Verdana"/>
      <family val="2"/>
    </font>
    <font>
      <b/>
      <sz val="10"/>
      <color theme="0"/>
      <name val="Verdana"/>
      <family val="2"/>
    </font>
    <font>
      <sz val="10"/>
      <name val="Times New Roman"/>
      <family val="1"/>
    </font>
    <font>
      <b/>
      <sz val="10"/>
      <name val="Times New Roman"/>
      <family val="1"/>
    </font>
  </fonts>
  <fills count="37">
    <fill>
      <patternFill patternType="none"/>
    </fill>
    <fill>
      <patternFill patternType="gray125"/>
    </fill>
    <fill>
      <patternFill patternType="solid">
        <fgColor indexed="18"/>
        <bgColor indexed="64"/>
      </patternFill>
    </fill>
    <fill>
      <patternFill patternType="solid">
        <fgColor indexed="62"/>
        <bgColor indexed="64"/>
      </patternFill>
    </fill>
    <fill>
      <patternFill patternType="solid">
        <fgColor indexed="50"/>
        <bgColor indexed="64"/>
      </patternFill>
    </fill>
    <fill>
      <patternFill patternType="solid">
        <fgColor indexed="31"/>
        <bgColor indexed="64"/>
      </patternFill>
    </fill>
    <fill>
      <patternFill patternType="solid">
        <fgColor indexed="22"/>
        <bgColor indexed="64"/>
      </patternFill>
    </fill>
    <fill>
      <patternFill patternType="solid">
        <fgColor indexed="29"/>
        <bgColor indexed="64"/>
      </patternFill>
    </fill>
    <fill>
      <patternFill patternType="solid">
        <fgColor indexed="61"/>
        <bgColor indexed="64"/>
      </patternFill>
    </fill>
    <fill>
      <patternFill patternType="solid">
        <fgColor indexed="5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0C0C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6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8"/>
      </right>
      <top style="thin">
        <color auto="1"/>
      </top>
      <bottom/>
      <diagonal/>
    </border>
    <border>
      <left style="thin">
        <color auto="1"/>
      </left>
      <right/>
      <top/>
      <bottom style="thin">
        <color auto="1"/>
      </bottom>
      <diagonal/>
    </border>
    <border>
      <left/>
      <right/>
      <top/>
      <bottom style="thin">
        <color auto="1"/>
      </bottom>
      <diagonal/>
    </border>
    <border>
      <left/>
      <right style="thin">
        <color indexed="8"/>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indexed="8"/>
      </right>
      <top style="thin">
        <color indexed="8"/>
      </top>
      <bottom style="thin">
        <color indexed="8"/>
      </bottom>
      <diagonal/>
    </border>
    <border>
      <left style="medium">
        <color auto="1"/>
      </left>
      <right/>
      <top style="thin">
        <color indexed="8"/>
      </top>
      <bottom style="thin">
        <color indexed="8"/>
      </bottom>
      <diagonal/>
    </border>
    <border>
      <left/>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thin">
        <color indexed="8"/>
      </right>
      <top style="medium">
        <color auto="1"/>
      </top>
      <bottom/>
      <diagonal/>
    </border>
    <border>
      <left/>
      <right/>
      <top style="medium">
        <color auto="1"/>
      </top>
      <bottom/>
      <diagonal/>
    </border>
    <border>
      <left/>
      <right style="medium">
        <color auto="1"/>
      </right>
      <top style="thin">
        <color auto="1"/>
      </top>
      <bottom style="medium">
        <color auto="1"/>
      </bottom>
      <diagonal/>
    </border>
    <border>
      <left style="medium">
        <color indexed="8"/>
      </left>
      <right style="thin">
        <color indexed="8"/>
      </right>
      <top style="thin">
        <color indexed="8"/>
      </top>
      <bottom style="thin">
        <color indexed="8"/>
      </bottom>
      <diagonal/>
    </border>
    <border>
      <left style="medium">
        <color auto="1"/>
      </left>
      <right style="thin">
        <color indexed="8"/>
      </right>
      <top style="thin">
        <color indexed="8"/>
      </top>
      <bottom style="medium">
        <color auto="1"/>
      </bottom>
      <diagonal/>
    </border>
    <border>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right/>
      <top/>
      <bottom style="thin">
        <color indexed="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auto="1"/>
      </left>
      <right style="thin">
        <color indexed="8"/>
      </right>
      <top style="thin">
        <color indexed="8"/>
      </top>
      <bottom/>
      <diagonal/>
    </border>
    <border>
      <left style="medium">
        <color auto="1"/>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medium">
        <color auto="1"/>
      </left>
      <right style="medium">
        <color indexed="64"/>
      </right>
      <top style="thin">
        <color indexed="8"/>
      </top>
      <bottom style="thin">
        <color indexed="8"/>
      </bottom>
      <diagonal/>
    </border>
    <border>
      <left/>
      <right style="medium">
        <color indexed="64"/>
      </right>
      <top style="medium">
        <color auto="1"/>
      </top>
      <bottom style="medium">
        <color auto="1"/>
      </bottom>
      <diagonal/>
    </border>
    <border>
      <left style="medium">
        <color indexed="64"/>
      </left>
      <right/>
      <top style="thin">
        <color indexed="8"/>
      </top>
      <bottom style="thin">
        <color auto="1"/>
      </bottom>
      <diagonal/>
    </border>
    <border>
      <left style="medium">
        <color indexed="64"/>
      </left>
      <right/>
      <top style="thin">
        <color auto="1"/>
      </top>
      <bottom style="thin">
        <color indexed="8"/>
      </bottom>
      <diagonal/>
    </border>
    <border>
      <left style="medium">
        <color indexed="64"/>
      </left>
      <right/>
      <top style="medium">
        <color auto="1"/>
      </top>
      <bottom style="medium">
        <color auto="1"/>
      </bottom>
      <diagonal/>
    </border>
    <border>
      <left style="medium">
        <color indexed="8"/>
      </left>
      <right/>
      <top style="thin">
        <color indexed="8"/>
      </top>
      <bottom style="thin">
        <color indexed="8"/>
      </bottom>
      <diagonal/>
    </border>
    <border>
      <left/>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77">
    <xf numFmtId="0" fontId="0" fillId="0" borderId="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3" fillId="20"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7" borderId="0" applyNumberFormat="0" applyBorder="0" applyAlignment="0" applyProtection="0"/>
    <xf numFmtId="0" fontId="24" fillId="11" borderId="0" applyNumberFormat="0" applyBorder="0" applyAlignment="0" applyProtection="0"/>
    <xf numFmtId="0" fontId="25" fillId="28" borderId="40" applyNumberFormat="0" applyAlignment="0" applyProtection="0"/>
    <xf numFmtId="0" fontId="26" fillId="29" borderId="41"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27" fillId="0" borderId="0" applyNumberFormat="0" applyFill="0" applyBorder="0" applyAlignment="0" applyProtection="0"/>
    <xf numFmtId="0" fontId="28" fillId="12" borderId="0" applyNumberFormat="0" applyBorder="0" applyAlignment="0" applyProtection="0"/>
    <xf numFmtId="0" fontId="29" fillId="0" borderId="42" applyNumberFormat="0" applyFill="0" applyAlignment="0" applyProtection="0"/>
    <xf numFmtId="0" fontId="30" fillId="0" borderId="43" applyNumberFormat="0" applyFill="0" applyAlignment="0" applyProtection="0"/>
    <xf numFmtId="0" fontId="31" fillId="0" borderId="44" applyNumberFormat="0" applyFill="0" applyAlignment="0" applyProtection="0"/>
    <xf numFmtId="0" fontId="31" fillId="0" borderId="0" applyNumberFormat="0" applyFill="0" applyBorder="0" applyAlignment="0" applyProtection="0"/>
    <xf numFmtId="0" fontId="3" fillId="0" borderId="0" applyNumberFormat="0" applyFill="0" applyBorder="0" applyAlignment="0" applyProtection="0">
      <alignment vertical="top"/>
      <protection locked="0"/>
    </xf>
    <xf numFmtId="0" fontId="32" fillId="15" borderId="40" applyNumberFormat="0" applyAlignment="0" applyProtection="0"/>
    <xf numFmtId="0" fontId="33" fillId="0" borderId="45" applyNumberFormat="0" applyFill="0" applyAlignment="0" applyProtection="0"/>
    <xf numFmtId="0" fontId="34" fillId="30" borderId="0" applyNumberFormat="0" applyBorder="0" applyAlignment="0" applyProtection="0"/>
    <xf numFmtId="0" fontId="2" fillId="31" borderId="46" applyNumberFormat="0" applyFont="0" applyAlignment="0" applyProtection="0"/>
    <xf numFmtId="0" fontId="35" fillId="28" borderId="47" applyNumberFormat="0" applyAlignment="0" applyProtection="0"/>
    <xf numFmtId="9" fontId="2" fillId="0" borderId="0" applyFont="0" applyFill="0" applyBorder="0" applyAlignment="0" applyProtection="0"/>
    <xf numFmtId="0" fontId="36" fillId="0" borderId="0" applyNumberFormat="0" applyFill="0" applyBorder="0" applyAlignment="0" applyProtection="0"/>
    <xf numFmtId="0" fontId="37" fillId="0" borderId="48" applyNumberFormat="0" applyFill="0" applyAlignment="0" applyProtection="0"/>
    <xf numFmtId="0" fontId="38"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cellStyleXfs>
  <cellXfs count="254">
    <xf numFmtId="0" fontId="0" fillId="0" borderId="0" xfId="0"/>
    <xf numFmtId="0" fontId="1" fillId="0" borderId="0" xfId="0" applyFont="1"/>
    <xf numFmtId="0" fontId="7" fillId="0" borderId="0" xfId="0" applyFont="1" applyAlignment="1">
      <alignment vertical="top"/>
    </xf>
    <xf numFmtId="0" fontId="1" fillId="4" borderId="12" xfId="0" applyFont="1" applyFill="1" applyBorder="1" applyAlignment="1">
      <alignment vertical="top" wrapText="1"/>
    </xf>
    <xf numFmtId="0" fontId="7" fillId="0" borderId="0" xfId="0" applyFont="1"/>
    <xf numFmtId="0" fontId="5" fillId="2" borderId="12" xfId="0" applyFont="1" applyFill="1" applyBorder="1"/>
    <xf numFmtId="0" fontId="8" fillId="2" borderId="15" xfId="0" applyFont="1" applyFill="1" applyBorder="1"/>
    <xf numFmtId="0" fontId="0" fillId="4" borderId="16" xfId="0" applyFill="1" applyBorder="1" applyAlignment="1">
      <alignment horizontal="right"/>
    </xf>
    <xf numFmtId="0" fontId="0" fillId="0" borderId="0" xfId="0" applyBorder="1"/>
    <xf numFmtId="0" fontId="0" fillId="4" borderId="17" xfId="0" applyFill="1" applyBorder="1" applyAlignment="1">
      <alignment horizontal="right"/>
    </xf>
    <xf numFmtId="0" fontId="0" fillId="4" borderId="18" xfId="0" applyFill="1" applyBorder="1" applyAlignment="1">
      <alignment horizontal="right"/>
    </xf>
    <xf numFmtId="0" fontId="1" fillId="4" borderId="12" xfId="0" applyFont="1" applyFill="1" applyBorder="1"/>
    <xf numFmtId="0" fontId="0" fillId="2" borderId="0" xfId="0" applyFill="1"/>
    <xf numFmtId="0" fontId="5" fillId="2" borderId="0" xfId="0" applyFont="1" applyFill="1"/>
    <xf numFmtId="0" fontId="1" fillId="4" borderId="16" xfId="0" applyFont="1" applyFill="1" applyBorder="1"/>
    <xf numFmtId="164" fontId="0" fillId="6" borderId="15" xfId="0" applyNumberFormat="1" applyFill="1" applyBorder="1"/>
    <xf numFmtId="0" fontId="0" fillId="0" borderId="17" xfId="0" applyBorder="1"/>
    <xf numFmtId="6" fontId="0" fillId="0" borderId="17" xfId="0" applyNumberFormat="1" applyBorder="1"/>
    <xf numFmtId="0" fontId="9" fillId="4" borderId="17" xfId="0" applyFont="1" applyFill="1" applyBorder="1" applyAlignment="1">
      <alignment horizontal="right"/>
    </xf>
    <xf numFmtId="9" fontId="0" fillId="0" borderId="17" xfId="0" applyNumberFormat="1" applyBorder="1"/>
    <xf numFmtId="0" fontId="0" fillId="4" borderId="17" xfId="0" applyFill="1" applyBorder="1"/>
    <xf numFmtId="0" fontId="13" fillId="8" borderId="0" xfId="0" applyFont="1" applyFill="1"/>
    <xf numFmtId="0" fontId="0" fillId="6" borderId="0" xfId="0" applyFill="1"/>
    <xf numFmtId="0" fontId="0" fillId="0" borderId="17" xfId="0" applyBorder="1" applyAlignment="1"/>
    <xf numFmtId="0" fontId="2" fillId="4" borderId="17" xfId="0" applyFont="1" applyFill="1" applyBorder="1" applyAlignment="1">
      <alignment horizontal="right"/>
    </xf>
    <xf numFmtId="0" fontId="1" fillId="4" borderId="17" xfId="0" applyFont="1" applyFill="1" applyBorder="1" applyAlignment="1">
      <alignment horizontal="right"/>
    </xf>
    <xf numFmtId="37" fontId="0" fillId="0" borderId="0" xfId="0" applyNumberFormat="1"/>
    <xf numFmtId="0" fontId="0" fillId="0" borderId="39" xfId="0" applyBorder="1"/>
    <xf numFmtId="9" fontId="0" fillId="0" borderId="0" xfId="42" applyFont="1" applyBorder="1"/>
    <xf numFmtId="0" fontId="13" fillId="2" borderId="0" xfId="0" applyFont="1" applyFill="1"/>
    <xf numFmtId="0" fontId="9" fillId="6" borderId="0" xfId="0" applyFont="1" applyFill="1" applyAlignment="1">
      <alignment horizontal="center"/>
    </xf>
    <xf numFmtId="0" fontId="1" fillId="0" borderId="23"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3"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0" fillId="0" borderId="0" xfId="0" applyAlignment="1">
      <alignment wrapText="1"/>
    </xf>
    <xf numFmtId="0" fontId="1" fillId="0" borderId="25" xfId="0" applyFont="1" applyBorder="1" applyAlignment="1">
      <alignment horizontal="center" vertical="center" wrapText="1"/>
    </xf>
    <xf numFmtId="0" fontId="12" fillId="0" borderId="24" xfId="0" applyFont="1" applyBorder="1" applyAlignment="1">
      <alignment horizontal="center" vertical="center"/>
    </xf>
    <xf numFmtId="0" fontId="1" fillId="0" borderId="26" xfId="0" applyFont="1" applyBorder="1" applyAlignment="1">
      <alignment horizontal="center" vertical="top"/>
    </xf>
    <xf numFmtId="0" fontId="0" fillId="0" borderId="24" xfId="0" applyBorder="1" applyAlignment="1">
      <alignment horizontal="justify" wrapText="1"/>
    </xf>
    <xf numFmtId="0" fontId="0" fillId="0" borderId="23" xfId="0" applyBorder="1" applyAlignment="1">
      <alignment horizontal="justify" wrapText="1"/>
    </xf>
    <xf numFmtId="0" fontId="12" fillId="0" borderId="24" xfId="0" applyFont="1" applyBorder="1" applyAlignment="1">
      <alignment horizontal="justify" wrapText="1"/>
    </xf>
    <xf numFmtId="0" fontId="12" fillId="0" borderId="24" xfId="0" applyFont="1" applyBorder="1" applyAlignment="1">
      <alignment horizontal="justify" vertical="top" wrapText="1"/>
    </xf>
    <xf numFmtId="0" fontId="0" fillId="0" borderId="24" xfId="0" applyBorder="1" applyAlignment="1">
      <alignment horizontal="justify" vertical="top" wrapText="1"/>
    </xf>
    <xf numFmtId="0" fontId="0" fillId="0" borderId="15" xfId="0" applyBorder="1"/>
    <xf numFmtId="0" fontId="9" fillId="4" borderId="16" xfId="0" applyFont="1" applyFill="1" applyBorder="1" applyAlignment="1">
      <alignment horizontal="right"/>
    </xf>
    <xf numFmtId="44" fontId="0" fillId="0" borderId="17" xfId="29" applyFont="1" applyBorder="1"/>
    <xf numFmtId="0" fontId="3" fillId="0" borderId="0" xfId="36" applyAlignment="1" applyProtection="1"/>
    <xf numFmtId="0" fontId="0" fillId="0" borderId="0" xfId="0" applyNumberFormat="1"/>
    <xf numFmtId="0" fontId="5" fillId="2" borderId="32" xfId="0" applyFont="1" applyFill="1" applyBorder="1" applyAlignment="1">
      <alignment horizontal="center"/>
    </xf>
    <xf numFmtId="0" fontId="0" fillId="2" borderId="32" xfId="0" applyFill="1" applyBorder="1" applyAlignment="1">
      <alignment horizontal="center"/>
    </xf>
    <xf numFmtId="0" fontId="6" fillId="2" borderId="11" xfId="0" applyFont="1" applyFill="1" applyBorder="1" applyAlignment="1">
      <alignment horizontal="center"/>
    </xf>
    <xf numFmtId="0" fontId="14" fillId="0" borderId="0" xfId="0" applyFont="1" applyBorder="1"/>
    <xf numFmtId="0" fontId="0" fillId="5" borderId="19" xfId="29" applyNumberFormat="1" applyFont="1" applyFill="1" applyBorder="1"/>
    <xf numFmtId="0" fontId="5" fillId="2" borderId="31" xfId="0" applyFont="1" applyFill="1" applyBorder="1" applyAlignment="1">
      <alignment horizontal="center"/>
    </xf>
    <xf numFmtId="0" fontId="5" fillId="2" borderId="25" xfId="0" applyFont="1" applyFill="1" applyBorder="1" applyAlignment="1">
      <alignment horizontal="center"/>
    </xf>
    <xf numFmtId="0" fontId="0" fillId="5" borderId="13" xfId="29" applyNumberFormat="1" applyFont="1" applyFill="1" applyBorder="1"/>
    <xf numFmtId="0" fontId="0" fillId="0" borderId="0" xfId="0" applyFill="1" applyBorder="1"/>
    <xf numFmtId="9" fontId="0" fillId="6" borderId="17" xfId="42" applyFont="1" applyFill="1" applyBorder="1"/>
    <xf numFmtId="167" fontId="0" fillId="5" borderId="19" xfId="29" applyNumberFormat="1" applyFont="1" applyFill="1" applyBorder="1"/>
    <xf numFmtId="167" fontId="0" fillId="5" borderId="19" xfId="29" applyNumberFormat="1" applyFont="1" applyFill="1" applyBorder="1" applyAlignment="1">
      <alignment horizontal="left"/>
    </xf>
    <xf numFmtId="167" fontId="0" fillId="5" borderId="13" xfId="29" applyNumberFormat="1" applyFont="1" applyFill="1" applyBorder="1"/>
    <xf numFmtId="167" fontId="0" fillId="5" borderId="20" xfId="29" applyNumberFormat="1" applyFont="1" applyFill="1" applyBorder="1"/>
    <xf numFmtId="167" fontId="0" fillId="5" borderId="35" xfId="29" applyNumberFormat="1" applyFont="1" applyFill="1" applyBorder="1"/>
    <xf numFmtId="167" fontId="0" fillId="5" borderId="36" xfId="29" applyNumberFormat="1" applyFont="1" applyFill="1" applyBorder="1"/>
    <xf numFmtId="167" fontId="0" fillId="5" borderId="37" xfId="29" applyNumberFormat="1" applyFont="1" applyFill="1" applyBorder="1"/>
    <xf numFmtId="0" fontId="0" fillId="0" borderId="0" xfId="0" applyAlignment="1"/>
    <xf numFmtId="166" fontId="0" fillId="0" borderId="0" xfId="28" applyNumberFormat="1" applyFont="1" applyFill="1" applyBorder="1"/>
    <xf numFmtId="6" fontId="0" fillId="0" borderId="0" xfId="0" applyNumberFormat="1" applyFill="1" applyBorder="1"/>
    <xf numFmtId="6" fontId="0" fillId="0" borderId="1" xfId="0" applyNumberFormat="1" applyBorder="1"/>
    <xf numFmtId="9" fontId="0" fillId="6" borderId="1" xfId="42" applyFont="1" applyFill="1" applyBorder="1"/>
    <xf numFmtId="0" fontId="6" fillId="0" borderId="0" xfId="0" applyFont="1" applyFill="1" applyBorder="1" applyAlignment="1">
      <alignment horizontal="center"/>
    </xf>
    <xf numFmtId="9" fontId="0" fillId="0" borderId="0" xfId="0" applyNumberFormat="1" applyFill="1" applyBorder="1"/>
    <xf numFmtId="0" fontId="8" fillId="0" borderId="0" xfId="0" applyFont="1" applyFill="1" applyBorder="1"/>
    <xf numFmtId="164" fontId="0" fillId="0" borderId="0" xfId="0" applyNumberFormat="1" applyFill="1" applyBorder="1"/>
    <xf numFmtId="165" fontId="0" fillId="0" borderId="0" xfId="0" applyNumberFormat="1" applyFill="1" applyBorder="1"/>
    <xf numFmtId="3" fontId="0" fillId="0" borderId="0" xfId="0" applyNumberFormat="1" applyFill="1" applyBorder="1"/>
    <xf numFmtId="0" fontId="5" fillId="0" borderId="0" xfId="0" applyFont="1" applyFill="1" applyBorder="1"/>
    <xf numFmtId="164" fontId="2" fillId="0" borderId="0" xfId="0" applyNumberFormat="1" applyFont="1" applyFill="1" applyBorder="1"/>
    <xf numFmtId="44" fontId="2" fillId="0" borderId="0" xfId="29" applyFont="1" applyFill="1" applyBorder="1"/>
    <xf numFmtId="166" fontId="0" fillId="0" borderId="0" xfId="0" applyNumberFormat="1" applyFill="1" applyBorder="1"/>
    <xf numFmtId="9" fontId="0" fillId="0" borderId="0" xfId="42" applyFont="1" applyFill="1" applyBorder="1"/>
    <xf numFmtId="167" fontId="0" fillId="0" borderId="0" xfId="29" applyNumberFormat="1" applyFont="1" applyFill="1" applyBorder="1"/>
    <xf numFmtId="0" fontId="4" fillId="0" borderId="0" xfId="0" applyFont="1" applyFill="1" applyBorder="1" applyAlignment="1">
      <alignment horizontal="center" vertical="center"/>
    </xf>
    <xf numFmtId="44" fontId="0" fillId="0" borderId="0" xfId="29" applyFont="1" applyFill="1" applyBorder="1"/>
    <xf numFmtId="37" fontId="0" fillId="0" borderId="0" xfId="0" applyNumberFormat="1" applyFill="1" applyBorder="1"/>
    <xf numFmtId="0" fontId="0" fillId="0" borderId="0" xfId="29" applyNumberFormat="1" applyFont="1" applyFill="1" applyBorder="1"/>
    <xf numFmtId="167" fontId="0" fillId="5" borderId="14" xfId="29" applyNumberFormat="1" applyFont="1" applyFill="1" applyBorder="1"/>
    <xf numFmtId="167" fontId="0" fillId="5" borderId="21" xfId="29" applyNumberFormat="1" applyFont="1" applyFill="1" applyBorder="1"/>
    <xf numFmtId="167" fontId="0" fillId="5" borderId="38" xfId="29" applyNumberFormat="1" applyFont="1" applyFill="1" applyBorder="1"/>
    <xf numFmtId="0" fontId="14" fillId="0" borderId="0" xfId="0" applyFont="1" applyFill="1" applyBorder="1" applyAlignment="1">
      <alignment horizontal="right"/>
    </xf>
    <xf numFmtId="0" fontId="14" fillId="0" borderId="0" xfId="0" applyFont="1" applyFill="1" applyBorder="1"/>
    <xf numFmtId="0" fontId="0" fillId="0" borderId="0" xfId="0" applyNumberFormat="1" applyFill="1" applyBorder="1"/>
    <xf numFmtId="167" fontId="0" fillId="0" borderId="0" xfId="29" quotePrefix="1" applyNumberFormat="1" applyFont="1" applyFill="1" applyBorder="1"/>
    <xf numFmtId="167" fontId="0" fillId="0" borderId="0" xfId="29" applyNumberFormat="1" applyFont="1" applyFill="1" applyBorder="1" applyAlignment="1">
      <alignment horizontal="left"/>
    </xf>
    <xf numFmtId="166" fontId="0" fillId="0" borderId="0" xfId="42" applyNumberFormat="1" applyFont="1" applyFill="1" applyBorder="1"/>
    <xf numFmtId="166" fontId="0" fillId="0" borderId="0" xfId="42" applyNumberFormat="1" applyFont="1" applyFill="1" applyBorder="1" applyAlignment="1">
      <alignment horizontal="left" indent="1"/>
    </xf>
    <xf numFmtId="0" fontId="0" fillId="0" borderId="0" xfId="42" applyNumberFormat="1" applyFont="1" applyFill="1" applyBorder="1"/>
    <xf numFmtId="9" fontId="2" fillId="9" borderId="30" xfId="42" applyFont="1" applyFill="1" applyBorder="1"/>
    <xf numFmtId="9" fontId="2" fillId="9" borderId="0" xfId="42" applyFont="1" applyFill="1" applyBorder="1"/>
    <xf numFmtId="10" fontId="0" fillId="0" borderId="0" xfId="42" applyNumberFormat="1" applyFont="1" applyFill="1" applyBorder="1" applyAlignment="1">
      <alignment horizontal="left"/>
    </xf>
    <xf numFmtId="37" fontId="0" fillId="9" borderId="30" xfId="0" applyNumberFormat="1" applyFill="1" applyBorder="1"/>
    <xf numFmtId="37" fontId="0" fillId="9" borderId="0" xfId="0" applyNumberFormat="1" applyFill="1" applyBorder="1"/>
    <xf numFmtId="0" fontId="0" fillId="9" borderId="0" xfId="0" applyFill="1" applyBorder="1"/>
    <xf numFmtId="0" fontId="2" fillId="9" borderId="30" xfId="29" applyNumberFormat="1" applyFont="1" applyFill="1" applyBorder="1"/>
    <xf numFmtId="0" fontId="2" fillId="9" borderId="0" xfId="29" applyNumberFormat="1" applyFont="1" applyFill="1" applyBorder="1"/>
    <xf numFmtId="0" fontId="17" fillId="2" borderId="0" xfId="0" applyFont="1" applyFill="1"/>
    <xf numFmtId="0" fontId="18" fillId="2" borderId="0" xfId="0" applyFont="1" applyFill="1"/>
    <xf numFmtId="0" fontId="19" fillId="2" borderId="0" xfId="0" applyFont="1" applyFill="1"/>
    <xf numFmtId="0" fontId="0" fillId="3" borderId="0" xfId="0" applyFill="1"/>
    <xf numFmtId="167" fontId="2" fillId="7" borderId="19" xfId="29" applyNumberFormat="1" applyFont="1" applyFill="1" applyBorder="1"/>
    <xf numFmtId="167" fontId="2" fillId="7" borderId="20" xfId="29" applyNumberFormat="1" applyFont="1" applyFill="1" applyBorder="1"/>
    <xf numFmtId="167" fontId="2" fillId="7" borderId="21" xfId="29" applyNumberFormat="1" applyFont="1" applyFill="1" applyBorder="1"/>
    <xf numFmtId="167" fontId="2" fillId="7" borderId="13" xfId="29" applyNumberFormat="1" applyFont="1" applyFill="1" applyBorder="1"/>
    <xf numFmtId="167" fontId="0" fillId="5" borderId="34" xfId="42" applyNumberFormat="1" applyFont="1" applyFill="1" applyBorder="1"/>
    <xf numFmtId="0" fontId="17" fillId="2" borderId="0" xfId="0" applyFont="1" applyFill="1" applyAlignment="1">
      <alignment horizontal="center"/>
    </xf>
    <xf numFmtId="0" fontId="13" fillId="2" borderId="0" xfId="0" applyFont="1" applyFill="1" applyAlignment="1">
      <alignment horizontal="center"/>
    </xf>
    <xf numFmtId="167" fontId="2" fillId="9" borderId="13" xfId="29" applyNumberFormat="1" applyFont="1" applyFill="1" applyBorder="1"/>
    <xf numFmtId="167" fontId="2" fillId="9" borderId="19" xfId="29" applyNumberFormat="1" applyFont="1" applyFill="1" applyBorder="1"/>
    <xf numFmtId="0" fontId="18" fillId="2" borderId="0" xfId="0" applyFont="1" applyFill="1" applyAlignment="1">
      <alignment horizontal="center"/>
    </xf>
    <xf numFmtId="0" fontId="18" fillId="2" borderId="10" xfId="0" applyFont="1" applyFill="1" applyBorder="1"/>
    <xf numFmtId="0" fontId="0" fillId="4" borderId="7" xfId="0" applyFill="1" applyBorder="1" applyAlignment="1">
      <alignment horizontal="left"/>
    </xf>
    <xf numFmtId="0" fontId="0" fillId="4" borderId="17" xfId="0" applyFill="1" applyBorder="1" applyAlignment="1">
      <alignment horizontal="left"/>
    </xf>
    <xf numFmtId="0" fontId="0" fillId="4" borderId="17" xfId="0" applyFill="1" applyBorder="1" applyAlignment="1">
      <alignment horizontal="center"/>
    </xf>
    <xf numFmtId="0" fontId="21" fillId="4" borderId="17" xfId="0" applyFont="1" applyFill="1" applyBorder="1" applyAlignment="1">
      <alignment horizontal="left"/>
    </xf>
    <xf numFmtId="9" fontId="21" fillId="4" borderId="17" xfId="42" applyFont="1" applyFill="1" applyBorder="1" applyAlignment="1">
      <alignment horizontal="right"/>
    </xf>
    <xf numFmtId="0" fontId="16" fillId="4" borderId="17" xfId="0" applyFont="1" applyFill="1" applyBorder="1" applyAlignment="1">
      <alignment horizontal="right"/>
    </xf>
    <xf numFmtId="0" fontId="16" fillId="4" borderId="17" xfId="0" applyFont="1" applyFill="1" applyBorder="1" applyAlignment="1">
      <alignment horizontal="center"/>
    </xf>
    <xf numFmtId="0" fontId="39" fillId="0" borderId="0" xfId="0" applyFont="1"/>
    <xf numFmtId="9" fontId="40" fillId="0" borderId="0" xfId="42" applyFont="1" applyFill="1" applyBorder="1"/>
    <xf numFmtId="0" fontId="40" fillId="0" borderId="0" xfId="0" applyFont="1"/>
    <xf numFmtId="3" fontId="40" fillId="0" borderId="0" xfId="0" applyNumberFormat="1" applyFont="1" applyFill="1" applyBorder="1"/>
    <xf numFmtId="167" fontId="2" fillId="7" borderId="50" xfId="29" applyNumberFormat="1" applyFont="1" applyFill="1" applyBorder="1"/>
    <xf numFmtId="0" fontId="0" fillId="0" borderId="0" xfId="0" quotePrefix="1"/>
    <xf numFmtId="0" fontId="0" fillId="4" borderId="17" xfId="0" quotePrefix="1" applyFont="1" applyFill="1" applyBorder="1" applyAlignment="1">
      <alignment horizontal="right"/>
    </xf>
    <xf numFmtId="0" fontId="0" fillId="4" borderId="17" xfId="0" applyFont="1" applyFill="1" applyBorder="1" applyAlignment="1">
      <alignment horizontal="right"/>
    </xf>
    <xf numFmtId="0" fontId="0" fillId="4" borderId="17" xfId="0" quotePrefix="1" applyFill="1" applyBorder="1" applyAlignment="1">
      <alignment horizontal="right"/>
    </xf>
    <xf numFmtId="0" fontId="42" fillId="2" borderId="0" xfId="0" applyFont="1" applyFill="1"/>
    <xf numFmtId="167" fontId="0" fillId="7" borderId="52" xfId="29" applyNumberFormat="1" applyFont="1" applyFill="1" applyBorder="1"/>
    <xf numFmtId="167" fontId="0" fillId="7" borderId="53" xfId="29" applyNumberFormat="1" applyFont="1" applyFill="1" applyBorder="1"/>
    <xf numFmtId="8" fontId="0" fillId="0" borderId="0" xfId="0" applyNumberFormat="1"/>
    <xf numFmtId="9" fontId="0" fillId="0" borderId="0" xfId="42" quotePrefix="1" applyFont="1" applyFill="1" applyBorder="1"/>
    <xf numFmtId="9" fontId="0" fillId="6" borderId="17" xfId="42" applyFont="1" applyFill="1" applyBorder="1" applyAlignment="1">
      <alignment horizontal="center"/>
    </xf>
    <xf numFmtId="167" fontId="0" fillId="32" borderId="13" xfId="29" applyNumberFormat="1" applyFont="1" applyFill="1" applyBorder="1"/>
    <xf numFmtId="167" fontId="0" fillId="32" borderId="14" xfId="29" applyNumberFormat="1" applyFont="1" applyFill="1" applyBorder="1"/>
    <xf numFmtId="0" fontId="43" fillId="3" borderId="0" xfId="0" applyFont="1" applyFill="1"/>
    <xf numFmtId="0" fontId="0" fillId="4" borderId="16" xfId="0" applyFont="1" applyFill="1" applyBorder="1" applyAlignment="1">
      <alignment horizontal="right"/>
    </xf>
    <xf numFmtId="164" fontId="0" fillId="6" borderId="54" xfId="0" applyNumberFormat="1" applyFont="1" applyFill="1" applyBorder="1"/>
    <xf numFmtId="167" fontId="1" fillId="7" borderId="13" xfId="29" applyNumberFormat="1" applyFont="1" applyFill="1" applyBorder="1"/>
    <xf numFmtId="167" fontId="1" fillId="7" borderId="50" xfId="29" applyNumberFormat="1" applyFont="1" applyFill="1" applyBorder="1"/>
    <xf numFmtId="167" fontId="1" fillId="7" borderId="21" xfId="29" applyNumberFormat="1" applyFont="1" applyFill="1" applyBorder="1"/>
    <xf numFmtId="0" fontId="1" fillId="4" borderId="12" xfId="0" applyFont="1" applyFill="1" applyBorder="1" applyAlignment="1">
      <alignment horizontal="left"/>
    </xf>
    <xf numFmtId="0" fontId="16" fillId="4" borderId="17" xfId="0" applyFont="1" applyFill="1" applyBorder="1" applyAlignment="1">
      <alignment horizontal="left"/>
    </xf>
    <xf numFmtId="0" fontId="9" fillId="4" borderId="17" xfId="0" applyFont="1" applyFill="1" applyBorder="1" applyAlignment="1">
      <alignment horizontal="left"/>
    </xf>
    <xf numFmtId="165" fontId="0" fillId="33" borderId="13" xfId="42" applyNumberFormat="1" applyFont="1" applyFill="1" applyBorder="1"/>
    <xf numFmtId="165" fontId="0" fillId="33" borderId="14" xfId="42" applyNumberFormat="1" applyFont="1" applyFill="1" applyBorder="1"/>
    <xf numFmtId="165" fontId="0" fillId="6" borderId="17" xfId="42" applyNumberFormat="1" applyFont="1" applyFill="1" applyBorder="1"/>
    <xf numFmtId="165" fontId="0" fillId="6" borderId="1" xfId="42" applyNumberFormat="1" applyFont="1" applyFill="1" applyBorder="1"/>
    <xf numFmtId="167" fontId="0" fillId="0" borderId="13" xfId="29" applyNumberFormat="1" applyFont="1" applyFill="1" applyBorder="1"/>
    <xf numFmtId="167" fontId="0" fillId="0" borderId="14" xfId="29" applyNumberFormat="1" applyFont="1" applyFill="1" applyBorder="1"/>
    <xf numFmtId="167" fontId="0" fillId="0" borderId="50" xfId="29" applyNumberFormat="1" applyFont="1" applyFill="1" applyBorder="1"/>
    <xf numFmtId="166" fontId="0" fillId="0" borderId="13" xfId="28" applyNumberFormat="1" applyFont="1" applyFill="1" applyBorder="1"/>
    <xf numFmtId="166" fontId="0" fillId="0" borderId="14" xfId="28" applyNumberFormat="1" applyFont="1" applyFill="1" applyBorder="1"/>
    <xf numFmtId="167" fontId="0" fillId="0" borderId="19" xfId="29" applyNumberFormat="1" applyFont="1" applyFill="1" applyBorder="1"/>
    <xf numFmtId="167" fontId="0" fillId="0" borderId="55" xfId="29" applyNumberFormat="1" applyFont="1" applyFill="1" applyBorder="1"/>
    <xf numFmtId="164" fontId="0" fillId="6" borderId="56" xfId="0" applyNumberFormat="1" applyFill="1" applyBorder="1"/>
    <xf numFmtId="164" fontId="0" fillId="6" borderId="24" xfId="0" applyNumberFormat="1" applyFill="1" applyBorder="1"/>
    <xf numFmtId="167" fontId="0" fillId="0" borderId="49" xfId="29" applyNumberFormat="1" applyFont="1" applyFill="1" applyBorder="1"/>
    <xf numFmtId="164" fontId="0" fillId="32" borderId="24" xfId="0" applyNumberFormat="1" applyFill="1" applyBorder="1"/>
    <xf numFmtId="167" fontId="47" fillId="0" borderId="1" xfId="29" applyNumberFormat="1" applyFont="1" applyFill="1" applyBorder="1"/>
    <xf numFmtId="167" fontId="47" fillId="0" borderId="57" xfId="29" applyNumberFormat="1" applyFont="1" applyFill="1" applyBorder="1"/>
    <xf numFmtId="167" fontId="47" fillId="0" borderId="58" xfId="29" applyNumberFormat="1" applyFont="1" applyFill="1" applyBorder="1"/>
    <xf numFmtId="167" fontId="1" fillId="7" borderId="14" xfId="29" applyNumberFormat="1" applyFont="1" applyFill="1" applyBorder="1"/>
    <xf numFmtId="9" fontId="0" fillId="33" borderId="13" xfId="42" applyFont="1" applyFill="1" applyBorder="1"/>
    <xf numFmtId="9" fontId="0" fillId="33" borderId="14" xfId="42" applyFont="1" applyFill="1" applyBorder="1"/>
    <xf numFmtId="0" fontId="2" fillId="4" borderId="16" xfId="0" applyFont="1" applyFill="1" applyBorder="1" applyAlignment="1">
      <alignment horizontal="right"/>
    </xf>
    <xf numFmtId="167" fontId="0" fillId="35" borderId="13" xfId="29" applyNumberFormat="1" applyFont="1" applyFill="1" applyBorder="1"/>
    <xf numFmtId="165" fontId="0" fillId="34" borderId="13" xfId="42" applyNumberFormat="1" applyFont="1" applyFill="1" applyBorder="1"/>
    <xf numFmtId="165" fontId="0" fillId="34" borderId="14" xfId="42" applyNumberFormat="1" applyFont="1" applyFill="1" applyBorder="1"/>
    <xf numFmtId="167" fontId="2" fillId="33" borderId="13" xfId="29" applyNumberFormat="1" applyFont="1" applyFill="1" applyBorder="1"/>
    <xf numFmtId="165" fontId="0" fillId="0" borderId="51" xfId="42" applyNumberFormat="1" applyFont="1" applyFill="1" applyBorder="1"/>
    <xf numFmtId="164" fontId="0" fillId="6" borderId="59" xfId="0" applyNumberFormat="1" applyFill="1" applyBorder="1"/>
    <xf numFmtId="167" fontId="1" fillId="7" borderId="60" xfId="29" applyNumberFormat="1" applyFont="1" applyFill="1" applyBorder="1"/>
    <xf numFmtId="167" fontId="2" fillId="33" borderId="14" xfId="29" applyNumberFormat="1" applyFont="1" applyFill="1" applyBorder="1"/>
    <xf numFmtId="167" fontId="0" fillId="0" borderId="0" xfId="0" applyNumberFormat="1"/>
    <xf numFmtId="0" fontId="2" fillId="0" borderId="0" xfId="0" applyFont="1"/>
    <xf numFmtId="166" fontId="1" fillId="0" borderId="0" xfId="0" applyNumberFormat="1" applyFont="1"/>
    <xf numFmtId="166" fontId="2" fillId="0" borderId="0" xfId="0" applyNumberFormat="1" applyFont="1"/>
    <xf numFmtId="167" fontId="2" fillId="0" borderId="0" xfId="0" applyNumberFormat="1" applyFont="1"/>
    <xf numFmtId="0" fontId="0" fillId="0" borderId="63" xfId="0" applyBorder="1"/>
    <xf numFmtId="0" fontId="1" fillId="0" borderId="63" xfId="0" applyFont="1" applyBorder="1"/>
    <xf numFmtId="167" fontId="1" fillId="0" borderId="63" xfId="0" applyNumberFormat="1" applyFont="1" applyBorder="1"/>
    <xf numFmtId="0" fontId="1" fillId="0" borderId="61" xfId="0" applyFont="1" applyBorder="1"/>
    <xf numFmtId="167" fontId="1" fillId="0" borderId="61" xfId="0" applyNumberFormat="1" applyFont="1" applyBorder="1"/>
    <xf numFmtId="0" fontId="2" fillId="0" borderId="62" xfId="0" applyFont="1" applyBorder="1"/>
    <xf numFmtId="167" fontId="0" fillId="0" borderId="62" xfId="0" applyNumberFormat="1" applyBorder="1"/>
    <xf numFmtId="0" fontId="51" fillId="0" borderId="0" xfId="0" applyFont="1" applyFill="1" applyBorder="1"/>
    <xf numFmtId="167" fontId="2" fillId="0" borderId="0" xfId="29" applyNumberFormat="1" applyFont="1" applyFill="1" applyBorder="1"/>
    <xf numFmtId="167" fontId="0" fillId="0" borderId="0" xfId="29" applyNumberFormat="1" applyFont="1"/>
    <xf numFmtId="167" fontId="1" fillId="0" borderId="63" xfId="29" applyNumberFormat="1" applyFont="1" applyBorder="1"/>
    <xf numFmtId="167" fontId="0" fillId="0" borderId="5" xfId="0" applyNumberFormat="1" applyBorder="1"/>
    <xf numFmtId="0" fontId="1" fillId="0" borderId="63" xfId="0" applyFont="1" applyBorder="1" applyAlignment="1">
      <alignment horizontal="center"/>
    </xf>
    <xf numFmtId="0" fontId="53" fillId="0" borderId="64" xfId="0" applyFont="1" applyBorder="1" applyAlignment="1">
      <alignment horizontal="justify" vertical="center" wrapText="1"/>
    </xf>
    <xf numFmtId="0" fontId="53" fillId="0" borderId="65" xfId="0" applyFont="1" applyBorder="1" applyAlignment="1">
      <alignment vertical="center" wrapText="1"/>
    </xf>
    <xf numFmtId="0" fontId="53" fillId="0" borderId="64" xfId="0" applyFont="1" applyBorder="1" applyAlignment="1">
      <alignment vertical="center" wrapText="1"/>
    </xf>
    <xf numFmtId="0" fontId="54" fillId="0" borderId="64" xfId="0" applyFont="1" applyBorder="1" applyAlignment="1">
      <alignment vertical="center" wrapText="1"/>
    </xf>
    <xf numFmtId="0" fontId="54" fillId="0" borderId="65" xfId="0" applyFont="1" applyBorder="1" applyAlignment="1">
      <alignment vertical="center" wrapText="1"/>
    </xf>
    <xf numFmtId="49" fontId="1" fillId="0" borderId="0" xfId="0" applyNumberFormat="1" applyFont="1" applyAlignment="1">
      <alignment horizontal="center" wrapText="1"/>
    </xf>
    <xf numFmtId="49" fontId="52" fillId="36" borderId="0" xfId="0" applyNumberFormat="1" applyFont="1" applyFill="1" applyAlignment="1">
      <alignment horizontal="center" wrapText="1"/>
    </xf>
    <xf numFmtId="167" fontId="0" fillId="0" borderId="0" xfId="29" applyNumberFormat="1" applyFont="1" applyFill="1"/>
    <xf numFmtId="0" fontId="52" fillId="36" borderId="0" xfId="0" applyFont="1" applyFill="1" applyAlignment="1">
      <alignment horizontal="center"/>
    </xf>
    <xf numFmtId="0" fontId="20" fillId="2"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7" fillId="6" borderId="22" xfId="0" applyFont="1" applyFill="1" applyBorder="1" applyAlignment="1">
      <alignment horizontal="left"/>
    </xf>
    <xf numFmtId="0" fontId="0" fillId="0" borderId="22" xfId="0" applyBorder="1" applyAlignment="1"/>
    <xf numFmtId="9" fontId="0" fillId="0" borderId="1" xfId="0" applyNumberFormat="1"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6" fontId="0" fillId="0" borderId="1" xfId="0" applyNumberForma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9" fontId="0" fillId="0" borderId="1" xfId="0" applyNumberFormat="1" applyBorder="1" applyAlignment="1">
      <alignment horizontal="center"/>
    </xf>
    <xf numFmtId="0" fontId="0" fillId="4" borderId="1" xfId="0" applyFill="1" applyBorder="1" applyAlignment="1">
      <alignment horizontal="left"/>
    </xf>
    <xf numFmtId="0" fontId="0" fillId="0" borderId="2" xfId="0" applyBorder="1" applyAlignment="1">
      <alignment horizontal="left"/>
    </xf>
    <xf numFmtId="0" fontId="0" fillId="0" borderId="29" xfId="0" applyBorder="1" applyAlignment="1">
      <alignment horizontal="left"/>
    </xf>
    <xf numFmtId="0" fontId="16" fillId="4" borderId="1" xfId="0" applyFont="1" applyFill="1" applyBorder="1" applyAlignment="1">
      <alignment horizontal="left"/>
    </xf>
    <xf numFmtId="0" fontId="0" fillId="0" borderId="2" xfId="0" applyBorder="1"/>
    <xf numFmtId="0" fontId="0" fillId="0" borderId="29" xfId="0" applyBorder="1"/>
    <xf numFmtId="0" fontId="0" fillId="4" borderId="7" xfId="0" applyFill="1" applyBorder="1" applyAlignment="1">
      <alignment horizontal="left"/>
    </xf>
    <xf numFmtId="0" fontId="0" fillId="0" borderId="8" xfId="0" applyBorder="1" applyAlignment="1"/>
    <xf numFmtId="0" fontId="0" fillId="0" borderId="28" xfId="0" applyBorder="1" applyAlignment="1"/>
    <xf numFmtId="0" fontId="16" fillId="4" borderId="10" xfId="0" applyFont="1" applyFill="1" applyBorder="1" applyAlignment="1">
      <alignment horizontal="center"/>
    </xf>
    <xf numFmtId="0" fontId="16" fillId="0" borderId="11" xfId="0" applyFont="1" applyBorder="1" applyAlignment="1">
      <alignment horizontal="center"/>
    </xf>
    <xf numFmtId="0" fontId="16" fillId="0" borderId="33" xfId="0" applyFont="1" applyBorder="1" applyAlignment="1">
      <alignment horizontal="center"/>
    </xf>
    <xf numFmtId="0" fontId="16" fillId="4" borderId="1" xfId="0" applyFont="1" applyFill="1" applyBorder="1" applyAlignment="1">
      <alignment horizontal="center"/>
    </xf>
    <xf numFmtId="0" fontId="16" fillId="0" borderId="2" xfId="0" applyFont="1" applyBorder="1" applyAlignment="1">
      <alignment horizontal="center"/>
    </xf>
    <xf numFmtId="0" fontId="16" fillId="0" borderId="29" xfId="0" applyFont="1" applyBorder="1" applyAlignment="1">
      <alignment horizontal="center"/>
    </xf>
    <xf numFmtId="0" fontId="16" fillId="4" borderId="7" xfId="0" applyFont="1" applyFill="1" applyBorder="1" applyAlignment="1">
      <alignment horizontal="left"/>
    </xf>
    <xf numFmtId="0" fontId="16" fillId="0" borderId="8" xfId="0" applyFont="1" applyBorder="1" applyAlignment="1"/>
    <xf numFmtId="0" fontId="16" fillId="0" borderId="28" xfId="0" applyFont="1" applyBorder="1" applyAlignment="1"/>
    <xf numFmtId="49" fontId="52" fillId="36" borderId="0" xfId="0" applyNumberFormat="1" applyFont="1" applyFill="1" applyAlignment="1">
      <alignment horizontal="center" wrapText="1"/>
    </xf>
    <xf numFmtId="167" fontId="53" fillId="0" borderId="64" xfId="29" applyNumberFormat="1" applyFont="1" applyBorder="1" applyAlignment="1">
      <alignment vertical="center" wrapText="1"/>
    </xf>
    <xf numFmtId="167" fontId="53" fillId="0" borderId="65" xfId="29" applyNumberFormat="1" applyFont="1" applyBorder="1" applyAlignment="1">
      <alignment vertical="center" wrapText="1"/>
    </xf>
    <xf numFmtId="0" fontId="52" fillId="36" borderId="65" xfId="0" applyFont="1" applyFill="1" applyBorder="1" applyAlignment="1">
      <alignment vertical="center" wrapText="1"/>
    </xf>
    <xf numFmtId="167" fontId="52" fillId="36" borderId="65" xfId="29" applyNumberFormat="1" applyFont="1" applyFill="1" applyBorder="1" applyAlignment="1">
      <alignment vertical="center" wrapText="1"/>
    </xf>
  </cellXfs>
  <cellStyles count="7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builtinId="3"/>
    <cellStyle name="Currency" xfId="29" builtinId="4"/>
    <cellStyle name="Explanatory Text" xfId="30"/>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Good" xfId="31"/>
    <cellStyle name="Heading 1" xfId="32"/>
    <cellStyle name="Heading 2" xfId="33"/>
    <cellStyle name="Heading 3" xfId="34"/>
    <cellStyle name="Heading 4" xfId="35"/>
    <cellStyle name="Hyperlink" xfId="36" builtinId="8"/>
    <cellStyle name="Input" xfId="37"/>
    <cellStyle name="Linked Cell" xfId="38"/>
    <cellStyle name="Neutral" xfId="39"/>
    <cellStyle name="Normal" xfId="0" builtinId="0"/>
    <cellStyle name="Note" xfId="40"/>
    <cellStyle name="Output" xfId="41"/>
    <cellStyle name="Percent" xfId="42" builtinId="5"/>
    <cellStyle name="Title" xfId="43"/>
    <cellStyle name="Total" xfId="44"/>
    <cellStyle name="Warning Text" xfId="4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Miftek Pro Forma Revenue,</a:t>
            </a:r>
            <a:r>
              <a:rPr lang="en-US" baseline="0"/>
              <a:t> Expense, EBITDA, and Cash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'Summary Table &amp; Chart'!$B$28</c:f>
              <c:strCache>
                <c:ptCount val="1"/>
                <c:pt idx="0">
                  <c:v>Total Revenue</c:v>
                </c:pt>
              </c:strCache>
            </c:strRef>
          </c:tx>
          <c:spPr>
            <a:solidFill>
              <a:schemeClr val="accent1"/>
            </a:solidFill>
            <a:ln>
              <a:noFill/>
            </a:ln>
            <a:effectLst/>
          </c:spPr>
          <c:invertIfNegative val="0"/>
          <c:cat>
            <c:numRef>
              <c:f>'Summary Table &amp; Chart'!$C$27:$G$27</c:f>
              <c:numCache>
                <c:formatCode>General</c:formatCode>
                <c:ptCount val="5"/>
                <c:pt idx="0">
                  <c:v>2021</c:v>
                </c:pt>
                <c:pt idx="1">
                  <c:v>2022</c:v>
                </c:pt>
                <c:pt idx="2">
                  <c:v>2023</c:v>
                </c:pt>
                <c:pt idx="3">
                  <c:v>2024</c:v>
                </c:pt>
                <c:pt idx="4">
                  <c:v>2025</c:v>
                </c:pt>
              </c:numCache>
            </c:numRef>
          </c:cat>
          <c:val>
            <c:numRef>
              <c:f>'Summary Table &amp; Chart'!$C$28:$G$28</c:f>
              <c:numCache>
                <c:formatCode>_("$"* #,##0_);_("$"* \(#,##0\);_("$"* "-"??_);_(@_)</c:formatCode>
                <c:ptCount val="5"/>
                <c:pt idx="0">
                  <c:v>700000</c:v>
                </c:pt>
                <c:pt idx="1">
                  <c:v>770000</c:v>
                </c:pt>
                <c:pt idx="2">
                  <c:v>2370000</c:v>
                </c:pt>
                <c:pt idx="3">
                  <c:v>6720000</c:v>
                </c:pt>
                <c:pt idx="4">
                  <c:v>15520000</c:v>
                </c:pt>
              </c:numCache>
            </c:numRef>
          </c:val>
          <c:extLst>
            <c:ext xmlns:c16="http://schemas.microsoft.com/office/drawing/2014/chart" uri="{C3380CC4-5D6E-409C-BE32-E72D297353CC}">
              <c16:uniqueId val="{00000000-5EF7-439E-AE4C-2ACE4CF36DDF}"/>
            </c:ext>
          </c:extLst>
        </c:ser>
        <c:ser>
          <c:idx val="1"/>
          <c:order val="1"/>
          <c:tx>
            <c:strRef>
              <c:f>'Summary Table &amp; Chart'!$B$29</c:f>
              <c:strCache>
                <c:ptCount val="1"/>
                <c:pt idx="0">
                  <c:v>Total Expense</c:v>
                </c:pt>
              </c:strCache>
            </c:strRef>
          </c:tx>
          <c:spPr>
            <a:solidFill>
              <a:schemeClr val="accent2"/>
            </a:solidFill>
            <a:ln>
              <a:noFill/>
            </a:ln>
            <a:effectLst/>
          </c:spPr>
          <c:invertIfNegative val="0"/>
          <c:cat>
            <c:numRef>
              <c:f>'Summary Table &amp; Chart'!$C$27:$G$27</c:f>
              <c:numCache>
                <c:formatCode>General</c:formatCode>
                <c:ptCount val="5"/>
                <c:pt idx="0">
                  <c:v>2021</c:v>
                </c:pt>
                <c:pt idx="1">
                  <c:v>2022</c:v>
                </c:pt>
                <c:pt idx="2">
                  <c:v>2023</c:v>
                </c:pt>
                <c:pt idx="3">
                  <c:v>2024</c:v>
                </c:pt>
                <c:pt idx="4">
                  <c:v>2025</c:v>
                </c:pt>
              </c:numCache>
            </c:numRef>
          </c:cat>
          <c:val>
            <c:numRef>
              <c:f>'Summary Table &amp; Chart'!$C$29:$G$29</c:f>
              <c:numCache>
                <c:formatCode>_("$"* #,##0_);_("$"* \(#,##0\);_("$"* "-"??_);_(@_)</c:formatCode>
                <c:ptCount val="5"/>
                <c:pt idx="0">
                  <c:v>-1054545.4545454546</c:v>
                </c:pt>
                <c:pt idx="1">
                  <c:v>-1747045.4545454546</c:v>
                </c:pt>
                <c:pt idx="2">
                  <c:v>-2932500</c:v>
                </c:pt>
                <c:pt idx="3">
                  <c:v>-5542500</c:v>
                </c:pt>
                <c:pt idx="4">
                  <c:v>-9380000</c:v>
                </c:pt>
              </c:numCache>
            </c:numRef>
          </c:val>
          <c:extLst>
            <c:ext xmlns:c16="http://schemas.microsoft.com/office/drawing/2014/chart" uri="{C3380CC4-5D6E-409C-BE32-E72D297353CC}">
              <c16:uniqueId val="{00000001-5EF7-439E-AE4C-2ACE4CF36DDF}"/>
            </c:ext>
          </c:extLst>
        </c:ser>
        <c:ser>
          <c:idx val="2"/>
          <c:order val="2"/>
          <c:tx>
            <c:strRef>
              <c:f>'Summary Table &amp; Chart'!$B$30</c:f>
              <c:strCache>
                <c:ptCount val="1"/>
                <c:pt idx="0">
                  <c:v>EBITDA</c:v>
                </c:pt>
              </c:strCache>
            </c:strRef>
          </c:tx>
          <c:spPr>
            <a:solidFill>
              <a:schemeClr val="accent3"/>
            </a:solidFill>
            <a:ln>
              <a:noFill/>
            </a:ln>
            <a:effectLst/>
          </c:spPr>
          <c:invertIfNegative val="0"/>
          <c:cat>
            <c:numRef>
              <c:f>'Summary Table &amp; Chart'!$C$27:$G$27</c:f>
              <c:numCache>
                <c:formatCode>General</c:formatCode>
                <c:ptCount val="5"/>
                <c:pt idx="0">
                  <c:v>2021</c:v>
                </c:pt>
                <c:pt idx="1">
                  <c:v>2022</c:v>
                </c:pt>
                <c:pt idx="2">
                  <c:v>2023</c:v>
                </c:pt>
                <c:pt idx="3">
                  <c:v>2024</c:v>
                </c:pt>
                <c:pt idx="4">
                  <c:v>2025</c:v>
                </c:pt>
              </c:numCache>
            </c:numRef>
          </c:cat>
          <c:val>
            <c:numRef>
              <c:f>'Summary Table &amp; Chart'!$C$30:$G$30</c:f>
              <c:numCache>
                <c:formatCode>_("$"* #,##0_);_("$"* \(#,##0\);_("$"* "-"??_);_(@_)</c:formatCode>
                <c:ptCount val="5"/>
                <c:pt idx="0">
                  <c:v>-354545.45454545459</c:v>
                </c:pt>
                <c:pt idx="1">
                  <c:v>-977045.45454545459</c:v>
                </c:pt>
                <c:pt idx="2">
                  <c:v>-562500</c:v>
                </c:pt>
                <c:pt idx="3">
                  <c:v>1177500</c:v>
                </c:pt>
                <c:pt idx="4">
                  <c:v>6140000</c:v>
                </c:pt>
              </c:numCache>
            </c:numRef>
          </c:val>
          <c:extLst>
            <c:ext xmlns:c16="http://schemas.microsoft.com/office/drawing/2014/chart" uri="{C3380CC4-5D6E-409C-BE32-E72D297353CC}">
              <c16:uniqueId val="{00000002-5EF7-439E-AE4C-2ACE4CF36DDF}"/>
            </c:ext>
          </c:extLst>
        </c:ser>
        <c:dLbls>
          <c:showLegendKey val="0"/>
          <c:showVal val="0"/>
          <c:showCatName val="0"/>
          <c:showSerName val="0"/>
          <c:showPercent val="0"/>
          <c:showBubbleSize val="0"/>
        </c:dLbls>
        <c:gapWidth val="219"/>
        <c:axId val="1845320304"/>
        <c:axId val="1845310320"/>
      </c:barChart>
      <c:lineChart>
        <c:grouping val="standard"/>
        <c:varyColors val="0"/>
        <c:ser>
          <c:idx val="3"/>
          <c:order val="3"/>
          <c:tx>
            <c:strRef>
              <c:f>'Summary Table &amp; Chart'!$B$31</c:f>
              <c:strCache>
                <c:ptCount val="1"/>
                <c:pt idx="0">
                  <c:v>Cumulative Cash / (Funding Need)</c:v>
                </c:pt>
              </c:strCache>
            </c:strRef>
          </c:tx>
          <c:spPr>
            <a:ln w="28575" cap="rnd">
              <a:solidFill>
                <a:schemeClr val="accent4"/>
              </a:solidFill>
              <a:round/>
            </a:ln>
            <a:effectLst/>
          </c:spPr>
          <c:marker>
            <c:symbol val="none"/>
          </c:marker>
          <c:cat>
            <c:numRef>
              <c:f>'Summary Table &amp; Chart'!$C$27:$G$27</c:f>
              <c:numCache>
                <c:formatCode>General</c:formatCode>
                <c:ptCount val="5"/>
                <c:pt idx="0">
                  <c:v>2021</c:v>
                </c:pt>
                <c:pt idx="1">
                  <c:v>2022</c:v>
                </c:pt>
                <c:pt idx="2">
                  <c:v>2023</c:v>
                </c:pt>
                <c:pt idx="3">
                  <c:v>2024</c:v>
                </c:pt>
                <c:pt idx="4">
                  <c:v>2025</c:v>
                </c:pt>
              </c:numCache>
            </c:numRef>
          </c:cat>
          <c:val>
            <c:numRef>
              <c:f>'Summary Table &amp; Chart'!$C$31:$G$31</c:f>
              <c:numCache>
                <c:formatCode>_("$"* #,##0_);_("$"* \(#,##0\);_("$"* "-"??_);_(@_)</c:formatCode>
                <c:ptCount val="5"/>
                <c:pt idx="0">
                  <c:v>147475.54545454541</c:v>
                </c:pt>
                <c:pt idx="1">
                  <c:v>-829569.90909090918</c:v>
                </c:pt>
                <c:pt idx="2">
                  <c:v>-1392069.9090909092</c:v>
                </c:pt>
                <c:pt idx="3">
                  <c:v>-214569.90909090918</c:v>
                </c:pt>
                <c:pt idx="4">
                  <c:v>5925430.0909090908</c:v>
                </c:pt>
              </c:numCache>
            </c:numRef>
          </c:val>
          <c:smooth val="0"/>
          <c:extLst>
            <c:ext xmlns:c16="http://schemas.microsoft.com/office/drawing/2014/chart" uri="{C3380CC4-5D6E-409C-BE32-E72D297353CC}">
              <c16:uniqueId val="{00000003-5EF7-439E-AE4C-2ACE4CF36DDF}"/>
            </c:ext>
          </c:extLst>
        </c:ser>
        <c:dLbls>
          <c:showLegendKey val="0"/>
          <c:showVal val="0"/>
          <c:showCatName val="0"/>
          <c:showSerName val="0"/>
          <c:showPercent val="0"/>
          <c:showBubbleSize val="0"/>
        </c:dLbls>
        <c:marker val="1"/>
        <c:smooth val="0"/>
        <c:axId val="1845320304"/>
        <c:axId val="1845310320"/>
      </c:lineChart>
      <c:catAx>
        <c:axId val="18453203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5310320"/>
        <c:crosses val="autoZero"/>
        <c:auto val="1"/>
        <c:lblAlgn val="ctr"/>
        <c:lblOffset val="100"/>
        <c:noMultiLvlLbl val="0"/>
      </c:catAx>
      <c:valAx>
        <c:axId val="184531032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53203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9525</xdr:colOff>
      <xdr:row>33</xdr:row>
      <xdr:rowOff>9525</xdr:rowOff>
    </xdr:from>
    <xdr:to>
      <xdr:col>5</xdr:col>
      <xdr:colOff>557212</xdr:colOff>
      <xdr:row>57</xdr:row>
      <xdr:rowOff>142875</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xdr:row>
      <xdr:rowOff>139700</xdr:rowOff>
    </xdr:from>
    <xdr:to>
      <xdr:col>7</xdr:col>
      <xdr:colOff>330200</xdr:colOff>
      <xdr:row>3</xdr:row>
      <xdr:rowOff>76200</xdr:rowOff>
    </xdr:to>
    <xdr:sp macro="" textlink="">
      <xdr:nvSpPr>
        <xdr:cNvPr id="2" name="Rectangle 2">
          <a:extLst>
            <a:ext uri="{FF2B5EF4-FFF2-40B4-BE49-F238E27FC236}">
              <a16:creationId xmlns:a16="http://schemas.microsoft.com/office/drawing/2014/main" id="{00000000-0008-0000-0200-000002000000}"/>
            </a:ext>
          </a:extLst>
        </xdr:cNvPr>
        <xdr:cNvSpPr>
          <a:spLocks noChangeArrowheads="1"/>
        </xdr:cNvSpPr>
      </xdr:nvSpPr>
      <xdr:spPr bwMode="auto">
        <a:xfrm>
          <a:off x="9017000" y="431800"/>
          <a:ext cx="330200" cy="304800"/>
        </a:xfrm>
        <a:prstGeom prst="rect">
          <a:avLst/>
        </a:prstGeom>
        <a:solidFill>
          <a:srgbClr val="C0C0C0"/>
        </a:solidFill>
        <a:ln w="9525">
          <a:solidFill>
            <a:srgbClr val="000000"/>
          </a:solidFill>
          <a:miter lim="800000"/>
          <a:headEnd/>
          <a:tailEnd/>
        </a:ln>
      </xdr:spPr>
      <xdr:txBody>
        <a:bodyPr vertOverflow="clip" wrap="square" lIns="18288" tIns="0" rIns="0" bIns="0" rtlCol="0" anchor="ctr" upright="1"/>
        <a:lstStyle/>
        <a:p>
          <a:pPr algn="ctr"/>
          <a:endParaRPr lang="en-US"/>
        </a:p>
      </xdr:txBody>
    </xdr:sp>
    <xdr:clientData/>
  </xdr:twoCellAnchor>
  <xdr:twoCellAnchor editAs="oneCell">
    <xdr:from>
      <xdr:col>7</xdr:col>
      <xdr:colOff>421640</xdr:colOff>
      <xdr:row>2</xdr:row>
      <xdr:rowOff>154940</xdr:rowOff>
    </xdr:from>
    <xdr:to>
      <xdr:col>8</xdr:col>
      <xdr:colOff>594317</xdr:colOff>
      <xdr:row>4</xdr:row>
      <xdr:rowOff>142240</xdr:rowOff>
    </xdr:to>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10035540" y="612140"/>
          <a:ext cx="1493477" cy="393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sz="1000" b="0" i="0" strike="noStrike">
              <a:solidFill>
                <a:srgbClr val="000000"/>
              </a:solidFill>
              <a:latin typeface="Verdana"/>
              <a:ea typeface="Verdana"/>
              <a:cs typeface="Verdana"/>
            </a:rPr>
            <a:t>= cells calculated</a:t>
          </a:r>
        </a:p>
        <a:p>
          <a:pPr algn="l" rtl="0">
            <a:defRPr sz="1000"/>
          </a:pPr>
          <a:r>
            <a:rPr lang="en-US" sz="1000" b="0" i="0" strike="noStrike">
              <a:solidFill>
                <a:srgbClr val="000000"/>
              </a:solidFill>
              <a:latin typeface="Verdana"/>
              <a:ea typeface="Verdana"/>
              <a:cs typeface="Verdana"/>
            </a:rPr>
            <a:t>for you</a:t>
          </a:r>
        </a:p>
      </xdr:txBody>
    </xdr:sp>
    <xdr:clientData/>
  </xdr:twoCellAnchor>
  <xdr:twoCellAnchor>
    <xdr:from>
      <xdr:col>7</xdr:col>
      <xdr:colOff>0</xdr:colOff>
      <xdr:row>3</xdr:row>
      <xdr:rowOff>88900</xdr:rowOff>
    </xdr:from>
    <xdr:to>
      <xdr:col>7</xdr:col>
      <xdr:colOff>330200</xdr:colOff>
      <xdr:row>5</xdr:row>
      <xdr:rowOff>25400</xdr:rowOff>
    </xdr:to>
    <xdr:sp macro="" textlink="">
      <xdr:nvSpPr>
        <xdr:cNvPr id="4" name="Rectangle 2">
          <a:extLst>
            <a:ext uri="{FF2B5EF4-FFF2-40B4-BE49-F238E27FC236}">
              <a16:creationId xmlns:a16="http://schemas.microsoft.com/office/drawing/2014/main" id="{00000000-0008-0000-0200-000004000000}"/>
            </a:ext>
          </a:extLst>
        </xdr:cNvPr>
        <xdr:cNvSpPr>
          <a:spLocks noChangeArrowheads="1"/>
        </xdr:cNvSpPr>
      </xdr:nvSpPr>
      <xdr:spPr bwMode="auto">
        <a:xfrm>
          <a:off x="9613900" y="749300"/>
          <a:ext cx="330200" cy="304800"/>
        </a:xfrm>
        <a:prstGeom prst="rect">
          <a:avLst/>
        </a:prstGeom>
        <a:solidFill>
          <a:schemeClr val="accent2">
            <a:lumMod val="60000"/>
            <a:lumOff val="40000"/>
          </a:schemeClr>
        </a:solidFill>
        <a:ln w="9525">
          <a:solidFill>
            <a:srgbClr val="000000"/>
          </a:solidFill>
          <a:miter lim="800000"/>
          <a:headEnd/>
          <a:tailEnd/>
        </a:ln>
      </xdr:spPr>
      <xdr:txBody>
        <a:bodyPr vertOverflow="clip" wrap="square" lIns="18288" tIns="0" rIns="0" bIns="0" rtlCol="0" anchor="ctr" upright="1"/>
        <a:lstStyle/>
        <a:p>
          <a:pPr algn="ctr"/>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xdr:row>
      <xdr:rowOff>152400</xdr:rowOff>
    </xdr:from>
    <xdr:to>
      <xdr:col>7</xdr:col>
      <xdr:colOff>330200</xdr:colOff>
      <xdr:row>3</xdr:row>
      <xdr:rowOff>88900</xdr:rowOff>
    </xdr:to>
    <xdr:sp macro="" textlink="">
      <xdr:nvSpPr>
        <xdr:cNvPr id="1103" name="Rectangle 2">
          <a:extLst>
            <a:ext uri="{FF2B5EF4-FFF2-40B4-BE49-F238E27FC236}">
              <a16:creationId xmlns:a16="http://schemas.microsoft.com/office/drawing/2014/main" id="{00000000-0008-0000-0400-00004F040000}"/>
            </a:ext>
          </a:extLst>
        </xdr:cNvPr>
        <xdr:cNvSpPr>
          <a:spLocks noChangeArrowheads="1"/>
        </xdr:cNvSpPr>
      </xdr:nvSpPr>
      <xdr:spPr bwMode="auto">
        <a:xfrm>
          <a:off x="10223500" y="444500"/>
          <a:ext cx="330200" cy="304800"/>
        </a:xfrm>
        <a:prstGeom prst="rect">
          <a:avLst/>
        </a:prstGeom>
        <a:solidFill>
          <a:srgbClr val="C0C0C0"/>
        </a:solidFill>
        <a:ln w="9525">
          <a:solidFill>
            <a:srgbClr val="000000"/>
          </a:solidFill>
          <a:miter lim="800000"/>
          <a:headEnd/>
          <a:tailEnd/>
        </a:ln>
      </xdr:spPr>
      <xdr:txBody>
        <a:bodyPr vertOverflow="clip" wrap="square" lIns="18288" tIns="0" rIns="0" bIns="0" rtlCol="0" anchor="ctr" upright="1"/>
        <a:lstStyle/>
        <a:p>
          <a:pPr algn="ctr"/>
          <a:endParaRPr lang="en-US"/>
        </a:p>
      </xdr:txBody>
    </xdr:sp>
    <xdr:clientData/>
  </xdr:twoCellAnchor>
  <xdr:twoCellAnchor editAs="oneCell">
    <xdr:from>
      <xdr:col>7</xdr:col>
      <xdr:colOff>408940</xdr:colOff>
      <xdr:row>2</xdr:row>
      <xdr:rowOff>116840</xdr:rowOff>
    </xdr:from>
    <xdr:to>
      <xdr:col>8</xdr:col>
      <xdr:colOff>581617</xdr:colOff>
      <xdr:row>4</xdr:row>
      <xdr:rowOff>104140</xdr:rowOff>
    </xdr:to>
    <xdr:sp macro="" textlink="">
      <xdr:nvSpPr>
        <xdr:cNvPr id="1027" name="Text Box 3">
          <a:extLst>
            <a:ext uri="{FF2B5EF4-FFF2-40B4-BE49-F238E27FC236}">
              <a16:creationId xmlns:a16="http://schemas.microsoft.com/office/drawing/2014/main" id="{00000000-0008-0000-0400-000003040000}"/>
            </a:ext>
          </a:extLst>
        </xdr:cNvPr>
        <xdr:cNvSpPr txBox="1">
          <a:spLocks noChangeArrowheads="1"/>
        </xdr:cNvSpPr>
      </xdr:nvSpPr>
      <xdr:spPr bwMode="auto">
        <a:xfrm>
          <a:off x="10022840" y="574040"/>
          <a:ext cx="1493477" cy="393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sz="1000" b="0" i="0" strike="noStrike">
              <a:solidFill>
                <a:srgbClr val="000000"/>
              </a:solidFill>
              <a:latin typeface="Verdana"/>
              <a:ea typeface="Verdana"/>
              <a:cs typeface="Verdana"/>
            </a:rPr>
            <a:t>= cells calculated</a:t>
          </a:r>
        </a:p>
        <a:p>
          <a:pPr algn="l" rtl="0">
            <a:defRPr sz="1000"/>
          </a:pPr>
          <a:r>
            <a:rPr lang="en-US" sz="1000" b="0" i="0" strike="noStrike">
              <a:solidFill>
                <a:srgbClr val="000000"/>
              </a:solidFill>
              <a:latin typeface="Verdana"/>
              <a:ea typeface="Verdana"/>
              <a:cs typeface="Verdana"/>
            </a:rPr>
            <a:t>for you</a:t>
          </a:r>
        </a:p>
      </xdr:txBody>
    </xdr:sp>
    <xdr:clientData/>
  </xdr:twoCellAnchor>
  <xdr:twoCellAnchor>
    <xdr:from>
      <xdr:col>7</xdr:col>
      <xdr:colOff>0</xdr:colOff>
      <xdr:row>3</xdr:row>
      <xdr:rowOff>101600</xdr:rowOff>
    </xdr:from>
    <xdr:to>
      <xdr:col>7</xdr:col>
      <xdr:colOff>330200</xdr:colOff>
      <xdr:row>5</xdr:row>
      <xdr:rowOff>38100</xdr:rowOff>
    </xdr:to>
    <xdr:sp macro="" textlink="">
      <xdr:nvSpPr>
        <xdr:cNvPr id="4" name="Rectangle 2">
          <a:extLst>
            <a:ext uri="{FF2B5EF4-FFF2-40B4-BE49-F238E27FC236}">
              <a16:creationId xmlns:a16="http://schemas.microsoft.com/office/drawing/2014/main" id="{00000000-0008-0000-0400-000004000000}"/>
            </a:ext>
          </a:extLst>
        </xdr:cNvPr>
        <xdr:cNvSpPr>
          <a:spLocks noChangeArrowheads="1"/>
        </xdr:cNvSpPr>
      </xdr:nvSpPr>
      <xdr:spPr bwMode="auto">
        <a:xfrm>
          <a:off x="9613900" y="762000"/>
          <a:ext cx="330200" cy="304800"/>
        </a:xfrm>
        <a:prstGeom prst="rect">
          <a:avLst/>
        </a:prstGeom>
        <a:solidFill>
          <a:schemeClr val="accent2">
            <a:lumMod val="60000"/>
            <a:lumOff val="40000"/>
          </a:schemeClr>
        </a:solidFill>
        <a:ln w="9525">
          <a:solidFill>
            <a:srgbClr val="000000"/>
          </a:solidFill>
          <a:miter lim="800000"/>
          <a:headEnd/>
          <a:tailEnd/>
        </a:ln>
      </xdr:spPr>
      <xdr:txBody>
        <a:bodyPr vertOverflow="clip" wrap="square" lIns="18288" tIns="0" rIns="0" bIns="0" rtlCol="0" anchor="ctr" upright="1"/>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9"/>
  <sheetViews>
    <sheetView topLeftCell="A32" zoomScaleNormal="100" workbookViewId="0">
      <selection activeCell="B33" sqref="B33:K49"/>
    </sheetView>
  </sheetViews>
  <sheetFormatPr defaultColWidth="8.87890625" defaultRowHeight="12.4"/>
  <cols>
    <col min="1" max="1" width="2.46875" customWidth="1"/>
    <col min="2" max="2" width="20" customWidth="1"/>
    <col min="3" max="3" width="11.87890625" hidden="1" customWidth="1"/>
    <col min="4" max="5" width="13.64453125" hidden="1" customWidth="1"/>
    <col min="6" max="6" width="13.64453125" customWidth="1"/>
    <col min="7" max="7" width="13.64453125" bestFit="1" customWidth="1"/>
    <col min="8" max="8" width="13.87890625" bestFit="1" customWidth="1"/>
    <col min="9" max="9" width="13.46875" customWidth="1"/>
    <col min="10" max="10" width="13.87890625" customWidth="1"/>
    <col min="11" max="11" width="15" customWidth="1"/>
  </cols>
  <sheetData>
    <row r="1" spans="2:8" hidden="1"/>
    <row r="2" spans="2:8" hidden="1">
      <c r="B2" s="190"/>
      <c r="C2" s="191">
        <v>2021</v>
      </c>
      <c r="D2" s="191">
        <v>2022</v>
      </c>
      <c r="E2" s="191">
        <v>2023</v>
      </c>
      <c r="F2" s="191"/>
      <c r="G2" s="191">
        <v>2024</v>
      </c>
      <c r="H2" s="191">
        <v>2025</v>
      </c>
    </row>
    <row r="3" spans="2:8" hidden="1">
      <c r="B3" s="186" t="s">
        <v>203</v>
      </c>
      <c r="C3" s="187">
        <f>'ProForma income - Full'!C11</f>
        <v>0</v>
      </c>
      <c r="D3" s="188">
        <f>'ProForma income - Full'!D11</f>
        <v>0</v>
      </c>
      <c r="E3" s="188">
        <f>'ProForma income - Full'!E11</f>
        <v>10</v>
      </c>
      <c r="F3" s="188"/>
      <c r="G3" s="188">
        <f>'ProForma income - Full'!F11</f>
        <v>25</v>
      </c>
      <c r="H3" s="188">
        <f>'ProForma income - Full'!G11</f>
        <v>50</v>
      </c>
    </row>
    <row r="4" spans="2:8" hidden="1">
      <c r="B4" s="186" t="s">
        <v>204</v>
      </c>
      <c r="C4" s="185">
        <f>'ProForma income - Full'!C12</f>
        <v>0</v>
      </c>
      <c r="D4" s="185">
        <f>'ProForma income - Full'!D12</f>
        <v>0</v>
      </c>
      <c r="E4" s="185">
        <f>'ProForma income - Full'!E12</f>
        <v>200000</v>
      </c>
      <c r="F4" s="185"/>
      <c r="G4" s="185">
        <f>'ProForma income - Full'!F12</f>
        <v>250000</v>
      </c>
      <c r="H4" s="185">
        <f>'ProForma income - Full'!G12</f>
        <v>300000</v>
      </c>
    </row>
    <row r="5" spans="2:8" hidden="1">
      <c r="B5" s="186" t="s">
        <v>130</v>
      </c>
      <c r="C5" s="185">
        <f>'ProForma income - Full'!C13</f>
        <v>0</v>
      </c>
      <c r="D5" s="185">
        <f>'ProForma income - Full'!D13</f>
        <v>0</v>
      </c>
      <c r="E5" s="185">
        <f>'ProForma income - Full'!E13</f>
        <v>2000000</v>
      </c>
      <c r="F5" s="185"/>
      <c r="G5" s="185">
        <f>'ProForma income - Full'!F13</f>
        <v>6250000</v>
      </c>
      <c r="H5" s="185">
        <f>'ProForma income - Full'!G13</f>
        <v>15000000</v>
      </c>
    </row>
    <row r="6" spans="2:8" hidden="1">
      <c r="B6" s="186" t="s">
        <v>206</v>
      </c>
      <c r="C6" s="189">
        <f>SUM('ProForma income - Full'!C14,'ProForma income - Full'!C17,'ProForma income - Full'!C18)</f>
        <v>500000</v>
      </c>
      <c r="D6" s="189">
        <f>SUM('ProForma income - Full'!D14,'ProForma income - Full'!D17,'ProForma income - Full'!D18)</f>
        <v>500000</v>
      </c>
      <c r="E6" s="189">
        <f>SUM('ProForma income - Full'!E14,'ProForma income - Full'!E17,'ProForma income - Full'!E18)</f>
        <v>0</v>
      </c>
      <c r="F6" s="189"/>
      <c r="G6" s="189">
        <f>SUM('ProForma income - Full'!F14,'ProForma income - Full'!F17,'ProForma income - Full'!F18)</f>
        <v>0</v>
      </c>
      <c r="H6" s="189">
        <f>SUM('ProForma income - Full'!G14,'ProForma income - Full'!G17,'ProForma income - Full'!G18)</f>
        <v>0</v>
      </c>
    </row>
    <row r="7" spans="2:8" hidden="1">
      <c r="B7" s="191" t="s">
        <v>190</v>
      </c>
      <c r="C7" s="192">
        <f>SUM(C5:C6)</f>
        <v>500000</v>
      </c>
      <c r="D7" s="192">
        <f>SUM(D5:D6)</f>
        <v>500000</v>
      </c>
      <c r="E7" s="192">
        <f>SUM(E5:E6)</f>
        <v>2000000</v>
      </c>
      <c r="F7" s="192"/>
      <c r="G7" s="192">
        <f>SUM(G5:G6)</f>
        <v>6250000</v>
      </c>
      <c r="H7" s="192">
        <f>SUM(H5:H6)</f>
        <v>15000000</v>
      </c>
    </row>
    <row r="8" spans="2:8" hidden="1">
      <c r="B8" s="186" t="s">
        <v>196</v>
      </c>
      <c r="C8" s="189">
        <f>-'ProForma income - Full'!C28</f>
        <v>0</v>
      </c>
      <c r="D8" s="189">
        <f>-'ProForma income - Full'!D28</f>
        <v>0</v>
      </c>
      <c r="E8" s="189">
        <f>-'ProForma income - Full'!E28</f>
        <v>-540000</v>
      </c>
      <c r="F8" s="189"/>
      <c r="G8" s="189">
        <f>-'ProForma income - Full'!F28</f>
        <v>-1375000</v>
      </c>
      <c r="H8" s="189">
        <f>-'ProForma income - Full'!G28</f>
        <v>-2800000</v>
      </c>
    </row>
    <row r="9" spans="2:8" hidden="1">
      <c r="B9" s="186" t="s">
        <v>197</v>
      </c>
      <c r="C9" s="189">
        <f>-SUM('ProForma income - Full'!C36:C40)</f>
        <v>-250000</v>
      </c>
      <c r="D9" s="189">
        <f>-SUM('ProForma income - Full'!D36:D40)</f>
        <v>-475000</v>
      </c>
      <c r="E9" s="189">
        <f>-SUM('ProForma income - Full'!E36:E40)</f>
        <v>-1050000</v>
      </c>
      <c r="F9" s="189"/>
      <c r="G9" s="189">
        <f>-SUM('ProForma income - Full'!F36:F40)</f>
        <v>-2550000</v>
      </c>
      <c r="H9" s="189">
        <f>-SUM('ProForma income - Full'!G36:G40)</f>
        <v>-4950000</v>
      </c>
    </row>
    <row r="10" spans="2:8" hidden="1">
      <c r="B10" s="186" t="s">
        <v>198</v>
      </c>
      <c r="C10" s="189">
        <f>-('ProForma income - Full'!C42+'ProForma income - Full'!C35)</f>
        <v>-754545.45454545459</v>
      </c>
      <c r="D10" s="189">
        <f>-('ProForma income - Full'!D42+'ProForma income - Full'!D35)</f>
        <v>-1204545.4545454546</v>
      </c>
      <c r="E10" s="189">
        <f>-('ProForma income - Full'!E42+'ProForma income - Full'!E35)</f>
        <v>-1250000</v>
      </c>
      <c r="F10" s="189"/>
      <c r="G10" s="189">
        <f>-('ProForma income - Full'!F42+'ProForma income - Full'!F35)</f>
        <v>-1500000</v>
      </c>
      <c r="H10" s="189">
        <f>-('ProForma income - Full'!G42+'ProForma income - Full'!G35)</f>
        <v>-1500000</v>
      </c>
    </row>
    <row r="11" spans="2:8" hidden="1">
      <c r="B11" s="191" t="s">
        <v>205</v>
      </c>
      <c r="C11" s="192">
        <f>SUM(C8:C10)</f>
        <v>-1004545.4545454546</v>
      </c>
      <c r="D11" s="192">
        <f>SUM(D8:D10)</f>
        <v>-1679545.4545454546</v>
      </c>
      <c r="E11" s="192">
        <f>SUM(E8:E10)</f>
        <v>-2840000</v>
      </c>
      <c r="F11" s="192"/>
      <c r="G11" s="192">
        <f>SUM(G8:G10)</f>
        <v>-5425000</v>
      </c>
      <c r="H11" s="192">
        <f>SUM(H8:H10)</f>
        <v>-9250000</v>
      </c>
    </row>
    <row r="12" spans="2:8" ht="12.75" hidden="1" thickBot="1">
      <c r="B12" s="193" t="s">
        <v>166</v>
      </c>
      <c r="C12" s="194">
        <f>SUM(C7,C11)</f>
        <v>-504545.45454545459</v>
      </c>
      <c r="D12" s="194">
        <f>SUM(D7,D11)</f>
        <v>-1179545.4545454546</v>
      </c>
      <c r="E12" s="194">
        <f>SUM(E7,E11)</f>
        <v>-840000</v>
      </c>
      <c r="F12" s="194"/>
      <c r="G12" s="194">
        <f>SUM(G7,G11)</f>
        <v>825000</v>
      </c>
      <c r="H12" s="194">
        <f>SUM(H7,H11)</f>
        <v>5750000</v>
      </c>
    </row>
    <row r="13" spans="2:8" ht="12.75" hidden="1" thickTop="1"/>
    <row r="14" spans="2:8" hidden="1">
      <c r="B14" s="191" t="s">
        <v>201</v>
      </c>
      <c r="C14" s="191"/>
      <c r="D14" s="191"/>
      <c r="E14" s="191"/>
      <c r="F14" s="191"/>
      <c r="G14" s="191"/>
      <c r="H14" s="191"/>
    </row>
    <row r="15" spans="2:8" hidden="1">
      <c r="B15" t="s">
        <v>199</v>
      </c>
      <c r="C15" s="185">
        <f>'ProForma income - Full'!C61</f>
        <v>500000</v>
      </c>
      <c r="D15" s="185">
        <f>'ProForma income - Full'!D61</f>
        <v>500000</v>
      </c>
      <c r="E15" s="185">
        <f>'ProForma income - Full'!E61</f>
        <v>500000</v>
      </c>
      <c r="F15" s="185"/>
      <c r="G15" s="185">
        <f>'ProForma income - Full'!F61</f>
        <v>0</v>
      </c>
      <c r="H15" s="185">
        <f>'ProForma income - Full'!G61</f>
        <v>0</v>
      </c>
    </row>
    <row r="16" spans="2:8" hidden="1">
      <c r="B16" s="186" t="s">
        <v>200</v>
      </c>
      <c r="C16" s="189">
        <f>'ProForma income - Full'!C58</f>
        <v>0</v>
      </c>
      <c r="D16" s="189">
        <f>'ProForma income - Full'!D58</f>
        <v>500000</v>
      </c>
      <c r="E16" s="189">
        <f>'ProForma income - Full'!E58</f>
        <v>0</v>
      </c>
      <c r="F16" s="189"/>
      <c r="G16" s="189">
        <f>'ProForma income - Full'!F58</f>
        <v>0</v>
      </c>
      <c r="H16" s="189">
        <f>'ProForma income - Full'!G58</f>
        <v>0</v>
      </c>
    </row>
    <row r="17" spans="2:8" hidden="1">
      <c r="B17" s="191" t="s">
        <v>202</v>
      </c>
      <c r="C17" s="192">
        <f>SUM(C15:C16)</f>
        <v>500000</v>
      </c>
      <c r="D17" s="192">
        <f>SUM(D15:D16)</f>
        <v>1000000</v>
      </c>
      <c r="E17" s="192">
        <f>SUM(E15:E16)</f>
        <v>500000</v>
      </c>
      <c r="F17" s="192"/>
      <c r="G17" s="192">
        <f>SUM(G15:G16)</f>
        <v>0</v>
      </c>
      <c r="H17" s="192">
        <f>SUM(H15:H16)</f>
        <v>0</v>
      </c>
    </row>
    <row r="18" spans="2:8" hidden="1"/>
    <row r="19" spans="2:8" hidden="1">
      <c r="B19" s="195" t="s">
        <v>208</v>
      </c>
      <c r="C19" s="196">
        <v>0</v>
      </c>
      <c r="D19" s="196">
        <v>0</v>
      </c>
      <c r="E19" s="196">
        <v>0</v>
      </c>
      <c r="F19" s="201"/>
      <c r="G19" s="196">
        <v>0</v>
      </c>
      <c r="H19" s="196">
        <v>0</v>
      </c>
    </row>
    <row r="20" spans="2:8" hidden="1">
      <c r="B20" s="186" t="s">
        <v>163</v>
      </c>
      <c r="C20" s="185">
        <f>SUM(C12,C17,C19)</f>
        <v>-4545.4545454545878</v>
      </c>
      <c r="D20" s="185">
        <f>SUM(D12,D17,D19)</f>
        <v>-179545.45454545459</v>
      </c>
      <c r="E20" s="185">
        <f>SUM(E12,E17,E19)</f>
        <v>-340000</v>
      </c>
      <c r="F20" s="185"/>
      <c r="G20" s="185">
        <f>SUM(G12,G17,G19)</f>
        <v>825000</v>
      </c>
      <c r="H20" s="185">
        <f>SUM(H12,H17,H19)</f>
        <v>5750000</v>
      </c>
    </row>
    <row r="21" spans="2:8" ht="12.75" hidden="1" thickBot="1">
      <c r="B21" s="193" t="s">
        <v>207</v>
      </c>
      <c r="C21" s="194">
        <f>SUM(C12,C17)</f>
        <v>-4545.4545454545878</v>
      </c>
      <c r="D21" s="194">
        <f>C21+D20</f>
        <v>-184090.90909090918</v>
      </c>
      <c r="E21" s="194">
        <f>D21+E20</f>
        <v>-524090.90909090918</v>
      </c>
      <c r="F21" s="194"/>
      <c r="G21" s="194">
        <f>E21+G20</f>
        <v>300909.09090909082</v>
      </c>
      <c r="H21" s="194">
        <f>G21+H20</f>
        <v>6050909.0909090908</v>
      </c>
    </row>
    <row r="22" spans="2:8" ht="12.75" hidden="1" thickTop="1"/>
    <row r="23" spans="2:8" hidden="1"/>
    <row r="24" spans="2:8" hidden="1"/>
    <row r="25" spans="2:8" hidden="1">
      <c r="B25" s="190"/>
      <c r="C25" s="191">
        <v>2021</v>
      </c>
      <c r="D25" s="191">
        <v>2022</v>
      </c>
      <c r="E25" s="191">
        <v>2023</v>
      </c>
      <c r="F25" s="191"/>
      <c r="G25" s="191">
        <v>2024</v>
      </c>
      <c r="H25" s="191">
        <v>2025</v>
      </c>
    </row>
    <row r="26" spans="2:8" hidden="1">
      <c r="B26" s="191" t="s">
        <v>190</v>
      </c>
      <c r="C26" s="192">
        <f>C7</f>
        <v>500000</v>
      </c>
      <c r="D26" s="192">
        <f>D7</f>
        <v>500000</v>
      </c>
      <c r="E26" s="192">
        <f>E7</f>
        <v>2000000</v>
      </c>
      <c r="F26" s="192"/>
      <c r="G26" s="192">
        <f>G7</f>
        <v>6250000</v>
      </c>
      <c r="H26" s="192">
        <f>H7</f>
        <v>15000000</v>
      </c>
    </row>
    <row r="27" spans="2:8" hidden="1">
      <c r="B27" s="191" t="s">
        <v>205</v>
      </c>
      <c r="C27" s="192">
        <f t="shared" ref="C27:H28" si="0">C11</f>
        <v>-1004545.4545454546</v>
      </c>
      <c r="D27" s="192">
        <f t="shared" si="0"/>
        <v>-1679545.4545454546</v>
      </c>
      <c r="E27" s="192">
        <f t="shared" si="0"/>
        <v>-2840000</v>
      </c>
      <c r="F27" s="192"/>
      <c r="G27" s="192">
        <f t="shared" si="0"/>
        <v>-5425000</v>
      </c>
      <c r="H27" s="192">
        <f t="shared" si="0"/>
        <v>-9250000</v>
      </c>
    </row>
    <row r="28" spans="2:8" ht="12.75" hidden="1" thickBot="1">
      <c r="B28" s="193" t="s">
        <v>166</v>
      </c>
      <c r="C28" s="194">
        <f t="shared" si="0"/>
        <v>-504545.45454545459</v>
      </c>
      <c r="D28" s="194">
        <f t="shared" si="0"/>
        <v>-1179545.4545454546</v>
      </c>
      <c r="E28" s="194">
        <f t="shared" si="0"/>
        <v>-840000</v>
      </c>
      <c r="F28" s="194"/>
      <c r="G28" s="194">
        <f t="shared" si="0"/>
        <v>825000</v>
      </c>
      <c r="H28" s="194">
        <f t="shared" si="0"/>
        <v>5750000</v>
      </c>
    </row>
    <row r="29" spans="2:8" ht="13.15" hidden="1" thickTop="1" thickBot="1">
      <c r="B29" s="193" t="s">
        <v>210</v>
      </c>
      <c r="C29" s="194">
        <f>SUM(C20,C25)</f>
        <v>-2524.4545454545878</v>
      </c>
      <c r="D29" s="194">
        <f>C29+D28</f>
        <v>-1182069.9090909092</v>
      </c>
      <c r="E29" s="194">
        <f>D29+E28</f>
        <v>-2022069.9090909092</v>
      </c>
      <c r="F29" s="194"/>
      <c r="G29" s="194">
        <f>E29+G28</f>
        <v>-1197069.9090909092</v>
      </c>
      <c r="H29" s="194">
        <f>G29+H28</f>
        <v>4552930.0909090908</v>
      </c>
    </row>
    <row r="30" spans="2:8" ht="12.75" hidden="1" thickTop="1"/>
    <row r="31" spans="2:8" hidden="1"/>
    <row r="33" spans="2:11">
      <c r="B33" s="191" t="s">
        <v>221</v>
      </c>
      <c r="C33" s="191">
        <v>2018</v>
      </c>
      <c r="D33" s="191">
        <v>2019</v>
      </c>
      <c r="E33" s="191">
        <v>2020</v>
      </c>
      <c r="F33" s="202" t="s">
        <v>232</v>
      </c>
      <c r="G33" s="202">
        <v>2021</v>
      </c>
      <c r="H33" s="202">
        <v>2022</v>
      </c>
      <c r="I33" s="202">
        <v>2023</v>
      </c>
      <c r="J33" s="202">
        <v>2024</v>
      </c>
      <c r="K33" s="202">
        <v>2025</v>
      </c>
    </row>
    <row r="34" spans="2:11">
      <c r="B34" s="186" t="s">
        <v>222</v>
      </c>
      <c r="C34" s="199">
        <v>0</v>
      </c>
      <c r="D34" s="199">
        <v>0</v>
      </c>
      <c r="E34" s="199">
        <v>225000</v>
      </c>
      <c r="F34" s="199">
        <f t="shared" ref="F34:F39" si="1">SUM(C34:E34)</f>
        <v>225000</v>
      </c>
      <c r="G34" s="199">
        <f>C6</f>
        <v>500000</v>
      </c>
      <c r="H34" s="199">
        <f>D6</f>
        <v>500000</v>
      </c>
      <c r="I34" s="199">
        <v>0</v>
      </c>
      <c r="J34" s="199">
        <v>0</v>
      </c>
      <c r="K34" s="199">
        <v>0</v>
      </c>
    </row>
    <row r="35" spans="2:11">
      <c r="B35" s="186" t="s">
        <v>199</v>
      </c>
      <c r="C35" s="199"/>
      <c r="D35" s="199"/>
      <c r="E35" s="199"/>
      <c r="F35" s="199">
        <f t="shared" si="1"/>
        <v>0</v>
      </c>
      <c r="G35" s="199">
        <f t="shared" ref="G35:I36" si="2">C15</f>
        <v>500000</v>
      </c>
      <c r="H35" s="199">
        <f t="shared" si="2"/>
        <v>500000</v>
      </c>
      <c r="I35" s="199">
        <f t="shared" si="2"/>
        <v>500000</v>
      </c>
      <c r="J35" s="199">
        <f>G15</f>
        <v>0</v>
      </c>
      <c r="K35" s="199">
        <f>H15</f>
        <v>0</v>
      </c>
    </row>
    <row r="36" spans="2:11">
      <c r="B36" s="186" t="s">
        <v>200</v>
      </c>
      <c r="C36" s="199"/>
      <c r="D36" s="199"/>
      <c r="E36" s="199"/>
      <c r="F36" s="199">
        <f t="shared" si="1"/>
        <v>0</v>
      </c>
      <c r="G36" s="199">
        <f t="shared" si="2"/>
        <v>0</v>
      </c>
      <c r="H36" s="199">
        <f t="shared" si="2"/>
        <v>500000</v>
      </c>
      <c r="I36" s="199">
        <f t="shared" si="2"/>
        <v>0</v>
      </c>
      <c r="J36" s="199">
        <f>G16</f>
        <v>0</v>
      </c>
      <c r="K36" s="199">
        <f>H16</f>
        <v>0</v>
      </c>
    </row>
    <row r="37" spans="2:11">
      <c r="B37" s="186" t="s">
        <v>223</v>
      </c>
      <c r="C37" s="199">
        <v>100000</v>
      </c>
      <c r="D37" s="199">
        <v>250000</v>
      </c>
      <c r="E37" s="199">
        <v>220000</v>
      </c>
      <c r="F37" s="199">
        <f t="shared" si="1"/>
        <v>570000</v>
      </c>
      <c r="G37" s="199">
        <v>200000</v>
      </c>
      <c r="H37" s="199">
        <v>200000</v>
      </c>
      <c r="I37" s="199">
        <v>200000</v>
      </c>
      <c r="J37" s="199">
        <v>200000</v>
      </c>
      <c r="K37" s="199">
        <v>200000</v>
      </c>
    </row>
    <row r="38" spans="2:11">
      <c r="B38" s="186" t="s">
        <v>224</v>
      </c>
      <c r="C38" s="199">
        <v>250000</v>
      </c>
      <c r="D38" s="199">
        <v>220000</v>
      </c>
      <c r="E38" s="199">
        <v>210000</v>
      </c>
      <c r="F38" s="199">
        <f t="shared" si="1"/>
        <v>680000</v>
      </c>
      <c r="G38" s="199">
        <v>200000</v>
      </c>
      <c r="H38" s="199">
        <v>200000</v>
      </c>
      <c r="I38" s="199">
        <v>200000</v>
      </c>
      <c r="J38" s="199">
        <v>200000</v>
      </c>
      <c r="K38" s="199">
        <v>200000</v>
      </c>
    </row>
    <row r="39" spans="2:11">
      <c r="B39" s="186" t="s">
        <v>225</v>
      </c>
      <c r="C39" s="199">
        <v>35000</v>
      </c>
      <c r="D39" s="199">
        <v>35000</v>
      </c>
      <c r="E39" s="199">
        <v>75000</v>
      </c>
      <c r="F39" s="199">
        <f t="shared" si="1"/>
        <v>145000</v>
      </c>
      <c r="G39" s="199">
        <v>100000</v>
      </c>
      <c r="H39" s="210">
        <v>100000</v>
      </c>
      <c r="I39" s="210">
        <v>100000</v>
      </c>
      <c r="J39" s="210">
        <v>100000</v>
      </c>
      <c r="K39" s="210">
        <v>100000</v>
      </c>
    </row>
    <row r="40" spans="2:11">
      <c r="B40" s="211" t="s">
        <v>226</v>
      </c>
      <c r="C40" s="211"/>
      <c r="D40" s="211"/>
      <c r="E40" s="211"/>
      <c r="F40" s="211"/>
      <c r="G40" s="211"/>
      <c r="H40" s="211"/>
      <c r="I40" s="211"/>
      <c r="J40" s="211"/>
      <c r="K40" s="211"/>
    </row>
    <row r="41" spans="2:11">
      <c r="B41" s="186" t="s">
        <v>227</v>
      </c>
      <c r="C41" s="199">
        <v>60000</v>
      </c>
      <c r="D41" s="199">
        <v>75000</v>
      </c>
      <c r="E41" s="199">
        <v>110000</v>
      </c>
      <c r="F41" s="199">
        <f>SUM(C41:E41)</f>
        <v>245000</v>
      </c>
      <c r="G41" s="199">
        <v>100000</v>
      </c>
      <c r="H41" s="210">
        <v>120000</v>
      </c>
      <c r="I41" s="210">
        <v>180000</v>
      </c>
      <c r="J41" s="210">
        <v>220000</v>
      </c>
      <c r="K41" s="210">
        <v>240000</v>
      </c>
    </row>
    <row r="42" spans="2:11">
      <c r="B42" s="186" t="s">
        <v>228</v>
      </c>
      <c r="C42" s="199">
        <v>0</v>
      </c>
      <c r="D42" s="199">
        <v>0</v>
      </c>
      <c r="E42" s="199">
        <v>0</v>
      </c>
      <c r="F42" s="199">
        <f>SUM(C42:E42)</f>
        <v>0</v>
      </c>
      <c r="G42" s="199">
        <v>0</v>
      </c>
      <c r="H42" s="199">
        <v>0</v>
      </c>
      <c r="I42" s="199">
        <v>0</v>
      </c>
      <c r="J42" s="199">
        <v>0</v>
      </c>
      <c r="K42" s="199">
        <v>0</v>
      </c>
    </row>
    <row r="43" spans="2:11">
      <c r="B43" s="211" t="s">
        <v>229</v>
      </c>
      <c r="C43" s="211"/>
      <c r="D43" s="211"/>
      <c r="E43" s="211"/>
      <c r="F43" s="211"/>
      <c r="G43" s="211"/>
      <c r="H43" s="211"/>
      <c r="I43" s="211"/>
      <c r="J43" s="211"/>
      <c r="K43" s="211"/>
    </row>
    <row r="44" spans="2:11">
      <c r="B44" s="186" t="s">
        <v>227</v>
      </c>
      <c r="C44" s="199">
        <v>52000</v>
      </c>
      <c r="D44" s="199">
        <v>72000</v>
      </c>
      <c r="E44" s="199">
        <v>75000</v>
      </c>
      <c r="F44" s="199">
        <f>SUM(C44:E44)</f>
        <v>199000</v>
      </c>
      <c r="G44" s="199">
        <v>100000</v>
      </c>
      <c r="H44" s="210">
        <v>150000</v>
      </c>
      <c r="I44" s="210">
        <v>190000</v>
      </c>
      <c r="J44" s="210">
        <v>250000</v>
      </c>
      <c r="K44" s="210">
        <v>280000</v>
      </c>
    </row>
    <row r="45" spans="2:11">
      <c r="B45" s="186" t="s">
        <v>228</v>
      </c>
      <c r="C45" s="199">
        <v>0</v>
      </c>
      <c r="D45" s="199">
        <v>0</v>
      </c>
      <c r="E45" s="199">
        <v>0</v>
      </c>
      <c r="F45" s="199">
        <f>SUM(C45:E45)</f>
        <v>0</v>
      </c>
      <c r="G45" s="199">
        <v>0</v>
      </c>
      <c r="H45" s="199">
        <v>0</v>
      </c>
      <c r="I45" s="199">
        <v>0</v>
      </c>
      <c r="J45" s="199">
        <v>0</v>
      </c>
      <c r="K45" s="199">
        <v>0</v>
      </c>
    </row>
    <row r="46" spans="2:11">
      <c r="B46" s="211" t="s">
        <v>230</v>
      </c>
      <c r="C46" s="211"/>
      <c r="D46" s="211"/>
      <c r="E46" s="211"/>
      <c r="F46" s="211"/>
      <c r="G46" s="211"/>
      <c r="H46" s="211"/>
      <c r="I46" s="211"/>
      <c r="J46" s="211"/>
      <c r="K46" s="211"/>
    </row>
    <row r="47" spans="2:11">
      <c r="B47" s="186" t="s">
        <v>227</v>
      </c>
      <c r="C47" s="199">
        <v>0</v>
      </c>
      <c r="D47" s="199">
        <v>0</v>
      </c>
      <c r="E47" s="199">
        <v>0</v>
      </c>
      <c r="F47" s="199">
        <f>SUM(C47:E47)</f>
        <v>0</v>
      </c>
      <c r="G47" s="199">
        <v>0</v>
      </c>
      <c r="H47" s="199">
        <v>0</v>
      </c>
      <c r="I47" s="199">
        <f>E5</f>
        <v>2000000</v>
      </c>
      <c r="J47" s="199">
        <f>G5</f>
        <v>6250000</v>
      </c>
      <c r="K47" s="199">
        <f>H5</f>
        <v>15000000</v>
      </c>
    </row>
    <row r="48" spans="2:11">
      <c r="B48" s="186" t="s">
        <v>228</v>
      </c>
      <c r="C48" s="199">
        <v>0</v>
      </c>
      <c r="D48" s="199">
        <v>0</v>
      </c>
      <c r="E48" s="199">
        <v>0</v>
      </c>
      <c r="F48" s="199">
        <f>SUM(C48:E48)</f>
        <v>0</v>
      </c>
      <c r="G48" s="199">
        <v>0</v>
      </c>
      <c r="H48" s="199">
        <v>0</v>
      </c>
      <c r="I48" s="199">
        <v>0</v>
      </c>
      <c r="J48" s="199">
        <v>0</v>
      </c>
      <c r="K48" s="199">
        <v>0</v>
      </c>
    </row>
    <row r="49" spans="2:11">
      <c r="B49" s="191" t="s">
        <v>231</v>
      </c>
      <c r="C49" s="200">
        <f>SUM(C34:C39,C41:C42,C44:C45,C47:C48)</f>
        <v>497000</v>
      </c>
      <c r="D49" s="200">
        <f t="shared" ref="D49:K49" si="3">SUM(D34:D39,D41:D42,D44:D45,D47:D48)</f>
        <v>652000</v>
      </c>
      <c r="E49" s="200">
        <f t="shared" si="3"/>
        <v>915000</v>
      </c>
      <c r="F49" s="200">
        <f t="shared" si="3"/>
        <v>2064000</v>
      </c>
      <c r="G49" s="200">
        <f t="shared" si="3"/>
        <v>1700000</v>
      </c>
      <c r="H49" s="200">
        <f t="shared" si="3"/>
        <v>2270000</v>
      </c>
      <c r="I49" s="200">
        <f t="shared" si="3"/>
        <v>3370000</v>
      </c>
      <c r="J49" s="200">
        <f t="shared" si="3"/>
        <v>7220000</v>
      </c>
      <c r="K49" s="200">
        <f t="shared" si="3"/>
        <v>16020000</v>
      </c>
    </row>
  </sheetData>
  <mergeCells count="3">
    <mergeCell ref="B40:K40"/>
    <mergeCell ref="B43:K43"/>
    <mergeCell ref="B46:K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8"/>
  <sheetViews>
    <sheetView zoomScale="120" zoomScaleNormal="219" workbookViewId="0">
      <selection activeCell="B2" sqref="B2:G18"/>
    </sheetView>
  </sheetViews>
  <sheetFormatPr defaultColWidth="11" defaultRowHeight="12.4"/>
  <cols>
    <col min="1" max="1" width="7.3515625" customWidth="1"/>
    <col min="2" max="2" width="17.64453125" customWidth="1"/>
    <col min="3" max="3" width="11.3515625" customWidth="1"/>
    <col min="4" max="6" width="13.9375" customWidth="1"/>
    <col min="7" max="7" width="15.87890625" customWidth="1"/>
  </cols>
  <sheetData>
    <row r="2" spans="2:7" ht="13.5" customHeight="1">
      <c r="B2" s="209"/>
      <c r="C2" s="209"/>
      <c r="D2" s="249" t="s">
        <v>271</v>
      </c>
      <c r="E2" s="249"/>
      <c r="F2" s="249"/>
      <c r="G2" s="209"/>
    </row>
    <row r="3" spans="2:7" s="208" customFormat="1" ht="12.75" thickBot="1">
      <c r="B3" s="209" t="s">
        <v>233</v>
      </c>
      <c r="C3" s="209" t="s">
        <v>234</v>
      </c>
      <c r="D3" s="209" t="s">
        <v>268</v>
      </c>
      <c r="E3" s="209" t="s">
        <v>269</v>
      </c>
      <c r="F3" s="209" t="s">
        <v>270</v>
      </c>
      <c r="G3" s="209" t="s">
        <v>235</v>
      </c>
    </row>
    <row r="4" spans="2:7" ht="13.5" thickBot="1">
      <c r="B4" s="203" t="s">
        <v>236</v>
      </c>
      <c r="C4" s="205" t="s">
        <v>250</v>
      </c>
      <c r="D4" s="250"/>
      <c r="E4" s="250"/>
      <c r="F4" s="250"/>
      <c r="G4" s="206" t="s">
        <v>257</v>
      </c>
    </row>
    <row r="5" spans="2:7" ht="13.5" thickBot="1">
      <c r="B5" s="204" t="s">
        <v>237</v>
      </c>
      <c r="C5" s="204" t="s">
        <v>251</v>
      </c>
      <c r="D5" s="251"/>
      <c r="E5" s="251"/>
      <c r="F5" s="251"/>
      <c r="G5" s="207" t="s">
        <v>257</v>
      </c>
    </row>
    <row r="6" spans="2:7" ht="13.5" thickBot="1">
      <c r="B6" s="204" t="s">
        <v>238</v>
      </c>
      <c r="C6" s="204" t="s">
        <v>250</v>
      </c>
      <c r="D6" s="251"/>
      <c r="E6" s="251"/>
      <c r="F6" s="251"/>
      <c r="G6" s="207" t="s">
        <v>257</v>
      </c>
    </row>
    <row r="7" spans="2:7" ht="13.5" thickBot="1">
      <c r="B7" s="204" t="s">
        <v>239</v>
      </c>
      <c r="C7" s="204" t="s">
        <v>251</v>
      </c>
      <c r="D7" s="251"/>
      <c r="E7" s="251"/>
      <c r="F7" s="251"/>
      <c r="G7" s="207" t="s">
        <v>257</v>
      </c>
    </row>
    <row r="8" spans="2:7" ht="13.5" thickBot="1">
      <c r="B8" s="204" t="s">
        <v>240</v>
      </c>
      <c r="C8" s="204" t="s">
        <v>250</v>
      </c>
      <c r="D8" s="251"/>
      <c r="E8" s="251"/>
      <c r="F8" s="251"/>
      <c r="G8" s="207" t="s">
        <v>257</v>
      </c>
    </row>
    <row r="9" spans="2:7" ht="13.5" thickBot="1">
      <c r="B9" s="204" t="s">
        <v>241</v>
      </c>
      <c r="C9" s="204" t="s">
        <v>250</v>
      </c>
      <c r="D9" s="251"/>
      <c r="E9" s="251"/>
      <c r="F9" s="251"/>
      <c r="G9" s="207" t="s">
        <v>257</v>
      </c>
    </row>
    <row r="10" spans="2:7" ht="13.5" thickBot="1">
      <c r="B10" s="204" t="s">
        <v>242</v>
      </c>
      <c r="C10" s="204" t="s">
        <v>252</v>
      </c>
      <c r="D10" s="251"/>
      <c r="E10" s="251"/>
      <c r="F10" s="251"/>
      <c r="G10" s="207" t="s">
        <v>257</v>
      </c>
    </row>
    <row r="11" spans="2:7" ht="13.5" thickBot="1">
      <c r="B11" s="204" t="s">
        <v>243</v>
      </c>
      <c r="C11" s="204" t="s">
        <v>253</v>
      </c>
      <c r="D11" s="251"/>
      <c r="E11" s="251"/>
      <c r="F11" s="251"/>
      <c r="G11" s="207" t="s">
        <v>258</v>
      </c>
    </row>
    <row r="12" spans="2:7" ht="13.5" thickBot="1">
      <c r="B12" s="204" t="s">
        <v>244</v>
      </c>
      <c r="C12" s="204" t="s">
        <v>250</v>
      </c>
      <c r="D12" s="251"/>
      <c r="E12" s="251"/>
      <c r="F12" s="251"/>
      <c r="G12" s="207" t="s">
        <v>257</v>
      </c>
    </row>
    <row r="13" spans="2:7" ht="13.5" thickBot="1">
      <c r="B13" s="204" t="s">
        <v>245</v>
      </c>
      <c r="C13" s="204" t="s">
        <v>254</v>
      </c>
      <c r="D13" s="251"/>
      <c r="E13" s="251"/>
      <c r="F13" s="251"/>
      <c r="G13" s="207" t="s">
        <v>257</v>
      </c>
    </row>
    <row r="14" spans="2:7" ht="13.5" thickBot="1">
      <c r="B14" s="204" t="s">
        <v>246</v>
      </c>
      <c r="C14" s="204" t="s">
        <v>253</v>
      </c>
      <c r="D14" s="251"/>
      <c r="E14" s="251"/>
      <c r="F14" s="251"/>
      <c r="G14" s="207" t="s">
        <v>257</v>
      </c>
    </row>
    <row r="15" spans="2:7" ht="13.5" thickBot="1">
      <c r="B15" s="204" t="s">
        <v>247</v>
      </c>
      <c r="C15" s="204" t="s">
        <v>255</v>
      </c>
      <c r="D15" s="251"/>
      <c r="E15" s="251"/>
      <c r="F15" s="251"/>
      <c r="G15" s="207" t="s">
        <v>259</v>
      </c>
    </row>
    <row r="16" spans="2:7" ht="13.5" thickBot="1">
      <c r="B16" s="204" t="s">
        <v>248</v>
      </c>
      <c r="C16" s="204" t="s">
        <v>256</v>
      </c>
      <c r="D16" s="251"/>
      <c r="E16" s="251"/>
      <c r="F16" s="251"/>
      <c r="G16" s="207" t="s">
        <v>260</v>
      </c>
    </row>
    <row r="17" spans="2:7" ht="13.5" thickBot="1">
      <c r="B17" s="204" t="s">
        <v>249</v>
      </c>
      <c r="C17" s="204" t="s">
        <v>251</v>
      </c>
      <c r="D17" s="251"/>
      <c r="E17" s="251"/>
      <c r="F17" s="251"/>
      <c r="G17" s="207" t="s">
        <v>260</v>
      </c>
    </row>
    <row r="18" spans="2:7" ht="12.75" thickBot="1">
      <c r="B18" s="252" t="s">
        <v>202</v>
      </c>
      <c r="C18" s="252" t="s">
        <v>272</v>
      </c>
      <c r="D18" s="253">
        <f>SUM(D4:D17)</f>
        <v>0</v>
      </c>
      <c r="E18" s="253">
        <f>SUM(E4:E17)</f>
        <v>0</v>
      </c>
      <c r="F18" s="253">
        <f>SUM(F4:F17)</f>
        <v>0</v>
      </c>
      <c r="G18" s="252"/>
    </row>
  </sheetData>
  <mergeCells count="1">
    <mergeCell ref="D2:F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2"/>
  <sheetViews>
    <sheetView topLeftCell="A27" workbookViewId="0">
      <selection activeCell="B2" sqref="B2:G23"/>
    </sheetView>
  </sheetViews>
  <sheetFormatPr defaultColWidth="8.87890625" defaultRowHeight="12.4"/>
  <cols>
    <col min="1" max="1" width="2.87890625" customWidth="1"/>
    <col min="2" max="2" width="33.64453125" bestFit="1" customWidth="1"/>
    <col min="3" max="6" width="14.1171875" bestFit="1" customWidth="1"/>
    <col min="7" max="7" width="15.1171875" bestFit="1" customWidth="1"/>
  </cols>
  <sheetData>
    <row r="2" spans="2:7">
      <c r="B2" s="190"/>
      <c r="C2" s="191">
        <v>2021</v>
      </c>
      <c r="D2" s="191">
        <v>2022</v>
      </c>
      <c r="E2" s="191">
        <v>2023</v>
      </c>
      <c r="F2" s="191">
        <v>2024</v>
      </c>
      <c r="G2" s="191">
        <v>2025</v>
      </c>
    </row>
    <row r="3" spans="2:7">
      <c r="B3" s="186" t="s">
        <v>261</v>
      </c>
      <c r="C3" s="187">
        <f>'ProForma income - Full'!C11</f>
        <v>0</v>
      </c>
      <c r="D3" s="188">
        <f>'ProForma income - Full'!D11</f>
        <v>0</v>
      </c>
      <c r="E3" s="188">
        <f>'ProForma income - Full'!E11</f>
        <v>10</v>
      </c>
      <c r="F3" s="188">
        <f>'ProForma income - Full'!F11</f>
        <v>25</v>
      </c>
      <c r="G3" s="188">
        <f>'ProForma income - Full'!G11</f>
        <v>50</v>
      </c>
    </row>
    <row r="4" spans="2:7">
      <c r="B4" s="186" t="s">
        <v>204</v>
      </c>
      <c r="C4" s="185">
        <f>'ProForma income - Full'!C12</f>
        <v>0</v>
      </c>
      <c r="D4" s="185">
        <f>'ProForma income - Full'!D12</f>
        <v>0</v>
      </c>
      <c r="E4" s="185">
        <f>'ProForma income - Full'!E12</f>
        <v>200000</v>
      </c>
      <c r="F4" s="185">
        <f>'ProForma income - Full'!F12</f>
        <v>250000</v>
      </c>
      <c r="G4" s="185">
        <f>'ProForma income - Full'!G12</f>
        <v>300000</v>
      </c>
    </row>
    <row r="5" spans="2:7">
      <c r="B5" s="186" t="s">
        <v>262</v>
      </c>
      <c r="C5" s="185">
        <f>'ProForma income - Full'!C13</f>
        <v>0</v>
      </c>
      <c r="D5" s="185">
        <f>'ProForma income - Full'!D13</f>
        <v>0</v>
      </c>
      <c r="E5" s="185">
        <f>'ProForma income - Full'!E13</f>
        <v>2000000</v>
      </c>
      <c r="F5" s="185">
        <f>'ProForma income - Full'!F13</f>
        <v>6250000</v>
      </c>
      <c r="G5" s="185">
        <f>'ProForma income - Full'!G13</f>
        <v>15000000</v>
      </c>
    </row>
    <row r="6" spans="2:7">
      <c r="B6" s="186" t="s">
        <v>263</v>
      </c>
      <c r="C6" s="185">
        <f>'Revenues and Sources'!G41+'Revenues and Sources'!G44</f>
        <v>200000</v>
      </c>
      <c r="D6" s="185">
        <f>'Revenues and Sources'!H41+'Revenues and Sources'!H44</f>
        <v>270000</v>
      </c>
      <c r="E6" s="185">
        <f>'Revenues and Sources'!I41+'Revenues and Sources'!I44</f>
        <v>370000</v>
      </c>
      <c r="F6" s="185">
        <f>'Revenues and Sources'!J41+'Revenues and Sources'!J44</f>
        <v>470000</v>
      </c>
      <c r="G6" s="185">
        <f>'Revenues and Sources'!K41+'Revenues and Sources'!K44</f>
        <v>520000</v>
      </c>
    </row>
    <row r="7" spans="2:7">
      <c r="B7" s="186" t="s">
        <v>206</v>
      </c>
      <c r="C7" s="189">
        <f>SUM('ProForma income - Full'!C14,'ProForma income - Full'!C17,'ProForma income - Full'!C18)</f>
        <v>500000</v>
      </c>
      <c r="D7" s="189">
        <f>SUM('ProForma income - Full'!D14,'ProForma income - Full'!D17,'ProForma income - Full'!D18)</f>
        <v>500000</v>
      </c>
      <c r="E7" s="189">
        <f>SUM('ProForma income - Full'!E14,'ProForma income - Full'!E17,'ProForma income - Full'!E18)</f>
        <v>0</v>
      </c>
      <c r="F7" s="189">
        <f>SUM('ProForma income - Full'!F14,'ProForma income - Full'!F17,'ProForma income - Full'!F18)</f>
        <v>0</v>
      </c>
      <c r="G7" s="189">
        <f>SUM('ProForma income - Full'!G14,'ProForma income - Full'!G17,'ProForma income - Full'!G18)</f>
        <v>0</v>
      </c>
    </row>
    <row r="8" spans="2:7">
      <c r="B8" s="191" t="s">
        <v>190</v>
      </c>
      <c r="C8" s="192">
        <f>SUM(C5:C7)</f>
        <v>700000</v>
      </c>
      <c r="D8" s="192">
        <f>SUM(D5:D7)</f>
        <v>770000</v>
      </c>
      <c r="E8" s="192">
        <f>SUM(E5:E7)</f>
        <v>2370000</v>
      </c>
      <c r="F8" s="192">
        <f>SUM(F5:F7)</f>
        <v>6720000</v>
      </c>
      <c r="G8" s="192">
        <f>SUM(G5:G7)</f>
        <v>15520000</v>
      </c>
    </row>
    <row r="9" spans="2:7">
      <c r="B9" s="186" t="s">
        <v>264</v>
      </c>
      <c r="C9" s="189">
        <f>-'ProForma income - Full'!C28</f>
        <v>0</v>
      </c>
      <c r="D9" s="189">
        <f>-'ProForma income - Full'!D28</f>
        <v>0</v>
      </c>
      <c r="E9" s="189">
        <f>-'ProForma income - Full'!E28</f>
        <v>-540000</v>
      </c>
      <c r="F9" s="189">
        <f>-'ProForma income - Full'!F28</f>
        <v>-1375000</v>
      </c>
      <c r="G9" s="189">
        <f>-'ProForma income - Full'!G28</f>
        <v>-2800000</v>
      </c>
    </row>
    <row r="10" spans="2:7">
      <c r="B10" s="186" t="s">
        <v>265</v>
      </c>
      <c r="C10" s="189">
        <f>-0.25*C6</f>
        <v>-50000</v>
      </c>
      <c r="D10" s="189">
        <f>-0.25*D6</f>
        <v>-67500</v>
      </c>
      <c r="E10" s="189">
        <f>-0.25*E6</f>
        <v>-92500</v>
      </c>
      <c r="F10" s="189">
        <f>-0.25*F6</f>
        <v>-117500</v>
      </c>
      <c r="G10" s="189">
        <f>-0.25*G6</f>
        <v>-130000</v>
      </c>
    </row>
    <row r="11" spans="2:7">
      <c r="B11" s="186" t="s">
        <v>197</v>
      </c>
      <c r="C11" s="189">
        <f>-SUM('ProForma income - Full'!C36:C40)</f>
        <v>-250000</v>
      </c>
      <c r="D11" s="189">
        <f>-SUM('ProForma income - Full'!D36:D40)</f>
        <v>-475000</v>
      </c>
      <c r="E11" s="189">
        <f>-SUM('ProForma income - Full'!E36:E40)</f>
        <v>-1050000</v>
      </c>
      <c r="F11" s="189">
        <f>-SUM('ProForma income - Full'!F36:F40)</f>
        <v>-2550000</v>
      </c>
      <c r="G11" s="189">
        <f>-SUM('ProForma income - Full'!G36:G40)</f>
        <v>-4950000</v>
      </c>
    </row>
    <row r="12" spans="2:7">
      <c r="B12" s="186" t="s">
        <v>198</v>
      </c>
      <c r="C12" s="189">
        <f>-('ProForma income - Full'!C42+'ProForma income - Full'!C35)</f>
        <v>-754545.45454545459</v>
      </c>
      <c r="D12" s="189">
        <f>-('ProForma income - Full'!D42+'ProForma income - Full'!D35)</f>
        <v>-1204545.4545454546</v>
      </c>
      <c r="E12" s="189">
        <f>-('ProForma income - Full'!E42+'ProForma income - Full'!E35)</f>
        <v>-1250000</v>
      </c>
      <c r="F12" s="189">
        <f>-('ProForma income - Full'!F42+'ProForma income - Full'!F35)</f>
        <v>-1500000</v>
      </c>
      <c r="G12" s="189">
        <f>-('ProForma income - Full'!G42+'ProForma income - Full'!G35)</f>
        <v>-1500000</v>
      </c>
    </row>
    <row r="13" spans="2:7">
      <c r="B13" s="191" t="s">
        <v>205</v>
      </c>
      <c r="C13" s="192">
        <f>SUM(C9:C12)</f>
        <v>-1054545.4545454546</v>
      </c>
      <c r="D13" s="192">
        <f>SUM(D9:D12)</f>
        <v>-1747045.4545454546</v>
      </c>
      <c r="E13" s="192">
        <f>SUM(E9:E12)</f>
        <v>-2932500</v>
      </c>
      <c r="F13" s="192">
        <f>SUM(F9:F12)</f>
        <v>-5542500</v>
      </c>
      <c r="G13" s="192">
        <f>SUM(G9:G12)</f>
        <v>-9380000</v>
      </c>
    </row>
    <row r="14" spans="2:7" ht="12.75" thickBot="1">
      <c r="B14" s="193" t="s">
        <v>166</v>
      </c>
      <c r="C14" s="194">
        <f>SUM(C8,C13)</f>
        <v>-354545.45454545459</v>
      </c>
      <c r="D14" s="194">
        <f>SUM(D8,D13)</f>
        <v>-977045.45454545459</v>
      </c>
      <c r="E14" s="194">
        <f>SUM(E8,E13)</f>
        <v>-562500</v>
      </c>
      <c r="F14" s="194">
        <f>SUM(F8,F13)</f>
        <v>1177500</v>
      </c>
      <c r="G14" s="194">
        <f>SUM(G8,G13)</f>
        <v>6140000</v>
      </c>
    </row>
    <row r="15" spans="2:7" ht="12.75" thickTop="1"/>
    <row r="16" spans="2:7">
      <c r="B16" s="191" t="s">
        <v>201</v>
      </c>
      <c r="C16" s="191"/>
      <c r="D16" s="191"/>
      <c r="E16" s="191"/>
      <c r="F16" s="191"/>
      <c r="G16" s="191"/>
    </row>
    <row r="17" spans="2:7">
      <c r="B17" t="s">
        <v>199</v>
      </c>
      <c r="C17" s="185">
        <f>'ProForma income - Full'!C61</f>
        <v>500000</v>
      </c>
      <c r="D17" s="185">
        <f>'ProForma income - Full'!D61</f>
        <v>500000</v>
      </c>
      <c r="E17" s="185">
        <f>'ProForma income - Full'!E61</f>
        <v>500000</v>
      </c>
      <c r="F17" s="185">
        <f>'ProForma income - Full'!F61</f>
        <v>0</v>
      </c>
      <c r="G17" s="185">
        <f>'ProForma income - Full'!G61</f>
        <v>0</v>
      </c>
    </row>
    <row r="18" spans="2:7">
      <c r="B18" s="186" t="s">
        <v>200</v>
      </c>
      <c r="C18" s="189">
        <f>'ProForma income - Full'!C58</f>
        <v>0</v>
      </c>
      <c r="D18" s="189">
        <f>'ProForma income - Full'!D58</f>
        <v>500000</v>
      </c>
      <c r="E18" s="189">
        <f>'ProForma income - Full'!E58</f>
        <v>0</v>
      </c>
      <c r="F18" s="189">
        <f>'ProForma income - Full'!F58</f>
        <v>0</v>
      </c>
      <c r="G18" s="189">
        <f>'ProForma income - Full'!G58</f>
        <v>0</v>
      </c>
    </row>
    <row r="19" spans="2:7">
      <c r="B19" s="191" t="s">
        <v>202</v>
      </c>
      <c r="C19" s="192">
        <f>SUM(C17:C18)</f>
        <v>500000</v>
      </c>
      <c r="D19" s="192">
        <f>SUM(D17:D18)</f>
        <v>1000000</v>
      </c>
      <c r="E19" s="192">
        <f>SUM(E17:E18)</f>
        <v>500000</v>
      </c>
      <c r="F19" s="192">
        <f>SUM(F17:F18)</f>
        <v>0</v>
      </c>
      <c r="G19" s="192">
        <f>SUM(G17:G18)</f>
        <v>0</v>
      </c>
    </row>
    <row r="21" spans="2:7">
      <c r="B21" s="195" t="s">
        <v>208</v>
      </c>
      <c r="C21" s="196">
        <v>0</v>
      </c>
      <c r="D21" s="196">
        <v>0</v>
      </c>
      <c r="E21" s="196">
        <v>0</v>
      </c>
      <c r="F21" s="196">
        <v>0</v>
      </c>
      <c r="G21" s="196">
        <v>0</v>
      </c>
    </row>
    <row r="22" spans="2:7">
      <c r="B22" s="186" t="s">
        <v>163</v>
      </c>
      <c r="C22" s="185">
        <f>SUM(C14,C19,C21)</f>
        <v>145454.54545454541</v>
      </c>
      <c r="D22" s="185">
        <f>SUM(D14,D19,D21)</f>
        <v>22954.545454545412</v>
      </c>
      <c r="E22" s="185">
        <f>SUM(E14,E19,E21)</f>
        <v>-62500</v>
      </c>
      <c r="F22" s="185">
        <f>SUM(F14,F19,F21)</f>
        <v>1177500</v>
      </c>
      <c r="G22" s="185">
        <f>SUM(G14,G19,G21)</f>
        <v>6140000</v>
      </c>
    </row>
    <row r="23" spans="2:7" ht="12.75" thickBot="1">
      <c r="B23" s="193" t="s">
        <v>207</v>
      </c>
      <c r="C23" s="194">
        <f>SUM(C14,C19)</f>
        <v>145454.54545454541</v>
      </c>
      <c r="D23" s="194">
        <f>C23+D22</f>
        <v>168409.09090909082</v>
      </c>
      <c r="E23" s="194">
        <f>D23+E22</f>
        <v>105909.09090909082</v>
      </c>
      <c r="F23" s="194">
        <f>E23+F22</f>
        <v>1283409.0909090908</v>
      </c>
      <c r="G23" s="194">
        <f>F23+G22</f>
        <v>7423409.0909090908</v>
      </c>
    </row>
    <row r="24" spans="2:7" ht="12.75" thickTop="1"/>
    <row r="27" spans="2:7">
      <c r="B27" s="190"/>
      <c r="C27" s="191">
        <v>2021</v>
      </c>
      <c r="D27" s="191">
        <v>2022</v>
      </c>
      <c r="E27" s="191">
        <v>2023</v>
      </c>
      <c r="F27" s="191">
        <v>2024</v>
      </c>
      <c r="G27" s="191">
        <v>2025</v>
      </c>
    </row>
    <row r="28" spans="2:7">
      <c r="B28" s="191" t="s">
        <v>190</v>
      </c>
      <c r="C28" s="192">
        <f>C8</f>
        <v>700000</v>
      </c>
      <c r="D28" s="192">
        <f>D8</f>
        <v>770000</v>
      </c>
      <c r="E28" s="192">
        <f>E8</f>
        <v>2370000</v>
      </c>
      <c r="F28" s="192">
        <f>F8</f>
        <v>6720000</v>
      </c>
      <c r="G28" s="192">
        <f>G8</f>
        <v>15520000</v>
      </c>
    </row>
    <row r="29" spans="2:7">
      <c r="B29" s="191" t="s">
        <v>205</v>
      </c>
      <c r="C29" s="192">
        <f t="shared" ref="C29:G30" si="0">C13</f>
        <v>-1054545.4545454546</v>
      </c>
      <c r="D29" s="192">
        <f t="shared" si="0"/>
        <v>-1747045.4545454546</v>
      </c>
      <c r="E29" s="192">
        <f t="shared" si="0"/>
        <v>-2932500</v>
      </c>
      <c r="F29" s="192">
        <f t="shared" si="0"/>
        <v>-5542500</v>
      </c>
      <c r="G29" s="192">
        <f t="shared" si="0"/>
        <v>-9380000</v>
      </c>
    </row>
    <row r="30" spans="2:7" ht="12.75" thickBot="1">
      <c r="B30" s="193" t="s">
        <v>166</v>
      </c>
      <c r="C30" s="194">
        <f t="shared" si="0"/>
        <v>-354545.45454545459</v>
      </c>
      <c r="D30" s="194">
        <f t="shared" si="0"/>
        <v>-977045.45454545459</v>
      </c>
      <c r="E30" s="194">
        <f t="shared" si="0"/>
        <v>-562500</v>
      </c>
      <c r="F30" s="194">
        <f t="shared" si="0"/>
        <v>1177500</v>
      </c>
      <c r="G30" s="194">
        <f t="shared" si="0"/>
        <v>6140000</v>
      </c>
    </row>
    <row r="31" spans="2:7" ht="13.15" thickTop="1" thickBot="1">
      <c r="B31" s="193" t="s">
        <v>210</v>
      </c>
      <c r="C31" s="194">
        <f>SUM(C22,C27)</f>
        <v>147475.54545454541</v>
      </c>
      <c r="D31" s="194">
        <f>C31+D30</f>
        <v>-829569.90909090918</v>
      </c>
      <c r="E31" s="194">
        <f>D31+E30</f>
        <v>-1392069.9090909092</v>
      </c>
      <c r="F31" s="194">
        <f>E31+F30</f>
        <v>-214569.90909090918</v>
      </c>
      <c r="G31" s="194">
        <f>F31+G30</f>
        <v>5925430.0909090908</v>
      </c>
    </row>
    <row r="32" spans="2:7" ht="12.75" thickTop="1">
      <c r="B32" s="197" t="s">
        <v>209</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7"/>
  <sheetViews>
    <sheetView topLeftCell="A28" workbookViewId="0">
      <selection activeCell="E43" sqref="E43"/>
    </sheetView>
  </sheetViews>
  <sheetFormatPr defaultColWidth="11" defaultRowHeight="12.4"/>
  <cols>
    <col min="1" max="1" width="4.1171875" customWidth="1"/>
    <col min="2" max="2" width="46.64453125" customWidth="1"/>
    <col min="3" max="5" width="14.46875" customWidth="1"/>
    <col min="6" max="7" width="14.3515625" bestFit="1" customWidth="1"/>
    <col min="8" max="8" width="14.87890625" customWidth="1"/>
    <col min="9" max="9" width="14.1171875" customWidth="1"/>
  </cols>
  <sheetData>
    <row r="1" spans="1:9" ht="22.9">
      <c r="B1" s="212" t="s">
        <v>191</v>
      </c>
      <c r="C1" s="213"/>
      <c r="D1" s="213"/>
      <c r="E1" s="213"/>
      <c r="F1" s="213"/>
      <c r="G1" s="214"/>
      <c r="I1" s="84"/>
    </row>
    <row r="2" spans="1:9">
      <c r="B2" s="110"/>
      <c r="C2" s="110"/>
      <c r="D2" s="110"/>
      <c r="E2" s="110"/>
      <c r="F2" s="110"/>
      <c r="G2" s="110"/>
      <c r="I2" s="69"/>
    </row>
    <row r="3" spans="1:9" ht="14.65">
      <c r="B3" s="110"/>
      <c r="C3" s="215" t="s">
        <v>195</v>
      </c>
      <c r="D3" s="216"/>
      <c r="E3" s="216"/>
      <c r="F3" s="217"/>
      <c r="G3" s="110"/>
    </row>
    <row r="4" spans="1:9" ht="14.65">
      <c r="B4" s="110"/>
      <c r="C4" s="218" t="s">
        <v>189</v>
      </c>
      <c r="D4" s="219"/>
      <c r="E4" s="219"/>
      <c r="F4" s="220"/>
      <c r="G4" s="110"/>
    </row>
    <row r="5" spans="1:9">
      <c r="B5" s="110"/>
      <c r="C5" s="110"/>
      <c r="D5" s="110"/>
      <c r="E5" s="110"/>
      <c r="F5" s="110"/>
      <c r="G5" s="110"/>
    </row>
    <row r="6" spans="1:9" ht="18" thickBot="1">
      <c r="A6" s="2">
        <v>1</v>
      </c>
      <c r="B6" s="121" t="s">
        <v>138</v>
      </c>
      <c r="C6" s="52" t="s">
        <v>186</v>
      </c>
      <c r="D6" s="52" t="s">
        <v>188</v>
      </c>
      <c r="E6" s="52">
        <v>2023</v>
      </c>
      <c r="F6" s="52">
        <v>2024</v>
      </c>
      <c r="G6" s="52">
        <v>2025</v>
      </c>
      <c r="H6" s="72"/>
      <c r="I6" s="72"/>
    </row>
    <row r="7" spans="1:9" ht="21" customHeight="1" thickBot="1">
      <c r="B7" s="3" t="s">
        <v>184</v>
      </c>
      <c r="C7" s="159">
        <v>225000000</v>
      </c>
      <c r="D7" s="159">
        <f>C7*1.08</f>
        <v>243000000.00000003</v>
      </c>
      <c r="E7" s="159">
        <f>D7*1.08</f>
        <v>262440000.00000006</v>
      </c>
      <c r="F7" s="159">
        <f>E7*1.08</f>
        <v>283435200.00000006</v>
      </c>
      <c r="G7" s="159">
        <f>F7*1.08</f>
        <v>306110016.00000006</v>
      </c>
      <c r="H7" s="69"/>
      <c r="I7" s="69"/>
    </row>
    <row r="8" spans="1:9" ht="21.75" customHeight="1" thickBot="1">
      <c r="A8" s="2"/>
      <c r="B8" s="3" t="s">
        <v>183</v>
      </c>
      <c r="C8" s="143" t="s">
        <v>91</v>
      </c>
      <c r="D8" s="157">
        <f>(D7-C7)/C7</f>
        <v>8.0000000000000127E-2</v>
      </c>
      <c r="E8" s="157">
        <f>(E7-D7)/D7</f>
        <v>8.0000000000000113E-2</v>
      </c>
      <c r="F8" s="157">
        <f>(F7-E7)/E7</f>
        <v>7.9999999999999988E-2</v>
      </c>
      <c r="G8" s="158">
        <f>(G7-F7)/F7</f>
        <v>7.9999999999999988E-2</v>
      </c>
      <c r="H8" s="73"/>
      <c r="I8" s="73"/>
    </row>
    <row r="9" spans="1:9" ht="6.95" customHeight="1" thickBot="1">
      <c r="A9" s="4"/>
      <c r="B9" s="45"/>
      <c r="H9" s="58"/>
      <c r="I9" s="58"/>
    </row>
    <row r="10" spans="1:9" ht="18" thickBot="1">
      <c r="A10" s="4">
        <v>2</v>
      </c>
      <c r="B10" s="5" t="s">
        <v>132</v>
      </c>
      <c r="C10" s="6"/>
      <c r="D10" s="6"/>
      <c r="E10" s="6"/>
      <c r="F10" s="6"/>
      <c r="G10" s="6"/>
      <c r="H10" s="74"/>
      <c r="I10" s="74"/>
    </row>
    <row r="11" spans="1:9" ht="17.649999999999999">
      <c r="A11" s="4"/>
      <c r="B11" s="7" t="s">
        <v>92</v>
      </c>
      <c r="C11" s="162"/>
      <c r="D11" s="162"/>
      <c r="E11" s="162">
        <v>10</v>
      </c>
      <c r="F11" s="162">
        <v>25</v>
      </c>
      <c r="G11" s="163">
        <v>50</v>
      </c>
      <c r="H11" s="68"/>
      <c r="I11" s="68"/>
    </row>
    <row r="12" spans="1:9" ht="17.649999999999999">
      <c r="A12" s="4"/>
      <c r="B12" s="9" t="s">
        <v>93</v>
      </c>
      <c r="C12" s="159"/>
      <c r="D12" s="159"/>
      <c r="E12" s="159">
        <v>200000</v>
      </c>
      <c r="F12" s="159">
        <v>250000</v>
      </c>
      <c r="G12" s="160">
        <v>300000</v>
      </c>
      <c r="H12" s="69"/>
      <c r="I12" s="69"/>
    </row>
    <row r="13" spans="1:9" ht="17.649999999999999">
      <c r="A13" s="4"/>
      <c r="B13" s="9" t="s">
        <v>94</v>
      </c>
      <c r="C13" s="144">
        <f>C11*C12</f>
        <v>0</v>
      </c>
      <c r="D13" s="144">
        <f>D11*D12</f>
        <v>0</v>
      </c>
      <c r="E13" s="144">
        <f>E11*E12</f>
        <v>2000000</v>
      </c>
      <c r="F13" s="144">
        <f>F11*F12</f>
        <v>6250000</v>
      </c>
      <c r="G13" s="145">
        <f>G11*G12</f>
        <v>15000000</v>
      </c>
      <c r="H13" s="75"/>
      <c r="I13" s="75"/>
    </row>
    <row r="14" spans="1:9" ht="18" thickBot="1">
      <c r="A14" s="4"/>
      <c r="B14" s="10" t="s">
        <v>95</v>
      </c>
      <c r="C14" s="165"/>
      <c r="D14" s="164"/>
      <c r="E14" s="159">
        <v>0</v>
      </c>
      <c r="F14" s="165">
        <v>0</v>
      </c>
      <c r="G14" s="168">
        <v>0</v>
      </c>
      <c r="H14" s="198" t="s">
        <v>220</v>
      </c>
      <c r="I14" s="69"/>
    </row>
    <row r="15" spans="1:9" ht="18" thickBot="1">
      <c r="A15" s="4"/>
      <c r="B15" s="11" t="s">
        <v>134</v>
      </c>
      <c r="C15" s="166">
        <f>C13+C14</f>
        <v>0</v>
      </c>
      <c r="D15" s="167">
        <f>D13+D14</f>
        <v>0</v>
      </c>
      <c r="E15" s="167">
        <f>E13+E14</f>
        <v>2000000</v>
      </c>
      <c r="F15" s="169">
        <f>F13+F14</f>
        <v>6250000</v>
      </c>
      <c r="G15" s="15">
        <f>G13+G14</f>
        <v>15000000</v>
      </c>
      <c r="H15" s="75"/>
      <c r="I15" s="75"/>
    </row>
    <row r="16" spans="1:9" ht="17.649999999999999">
      <c r="A16" s="4"/>
      <c r="B16" s="147" t="s">
        <v>187</v>
      </c>
      <c r="C16" s="174">
        <f>(C15/C7)</f>
        <v>0</v>
      </c>
      <c r="D16" s="174">
        <f>(D15/D7)</f>
        <v>0</v>
      </c>
      <c r="E16" s="174">
        <f>(E15/E7)</f>
        <v>7.6207895137936276E-3</v>
      </c>
      <c r="F16" s="174">
        <f>(F15/F7)</f>
        <v>2.2050895583893598E-2</v>
      </c>
      <c r="G16" s="175">
        <f>G15/G7</f>
        <v>4.9001990186430221E-2</v>
      </c>
      <c r="H16" s="76"/>
      <c r="I16" s="76"/>
    </row>
    <row r="17" spans="1:9" ht="17.649999999999999">
      <c r="A17" s="4"/>
      <c r="B17" s="9" t="s">
        <v>133</v>
      </c>
      <c r="C17" s="160">
        <v>475000</v>
      </c>
      <c r="D17" s="161">
        <v>475000</v>
      </c>
      <c r="E17" s="170">
        <v>0</v>
      </c>
      <c r="F17" s="171">
        <v>0</v>
      </c>
      <c r="G17" s="171">
        <v>0</v>
      </c>
      <c r="H17" s="77"/>
      <c r="I17" s="77"/>
    </row>
    <row r="18" spans="1:9" ht="17.649999999999999">
      <c r="A18" s="4"/>
      <c r="B18" s="7" t="s">
        <v>192</v>
      </c>
      <c r="C18" s="160">
        <v>25000</v>
      </c>
      <c r="D18" s="161">
        <v>25000</v>
      </c>
      <c r="E18" s="170">
        <v>0</v>
      </c>
      <c r="F18" s="172">
        <v>0</v>
      </c>
      <c r="G18" s="172">
        <v>0</v>
      </c>
      <c r="H18" s="77"/>
      <c r="I18" s="77"/>
    </row>
    <row r="19" spans="1:9" ht="17.649999999999999">
      <c r="A19" s="4"/>
      <c r="B19" s="14" t="s">
        <v>190</v>
      </c>
      <c r="C19" s="173">
        <f>C15+C17+C18</f>
        <v>500000</v>
      </c>
      <c r="D19" s="150">
        <f>D15+D17+D18</f>
        <v>500000</v>
      </c>
      <c r="E19" s="150">
        <f>E15+E17+E18</f>
        <v>2000000</v>
      </c>
      <c r="F19" s="150">
        <f>F15+F17+F18</f>
        <v>6250000</v>
      </c>
      <c r="G19" s="183">
        <f>G15+G17+G18</f>
        <v>15000000</v>
      </c>
      <c r="H19" s="68"/>
      <c r="I19" s="68"/>
    </row>
    <row r="20" spans="1:9" ht="6.95" customHeight="1">
      <c r="A20" s="4"/>
      <c r="H20" s="58"/>
      <c r="I20" s="58"/>
    </row>
    <row r="21" spans="1:9" ht="21.75" customHeight="1">
      <c r="A21" s="4">
        <v>3</v>
      </c>
      <c r="B21" s="13" t="s">
        <v>96</v>
      </c>
      <c r="C21" s="13"/>
      <c r="D21" s="13"/>
      <c r="E21" s="13"/>
      <c r="F21" s="13"/>
      <c r="G21" s="13"/>
      <c r="H21" s="78"/>
      <c r="I21" s="78"/>
    </row>
    <row r="22" spans="1:9" ht="17.649999999999999">
      <c r="A22" s="4"/>
      <c r="B22" s="9" t="s">
        <v>97</v>
      </c>
      <c r="C22" s="159"/>
      <c r="D22" s="159"/>
      <c r="E22" s="159">
        <f>35000*E11</f>
        <v>350000</v>
      </c>
      <c r="F22" s="159">
        <f>35000*F11</f>
        <v>875000</v>
      </c>
      <c r="G22" s="159">
        <f>35000*G11</f>
        <v>1750000</v>
      </c>
      <c r="H22" s="198" t="s">
        <v>216</v>
      </c>
      <c r="I22" s="79"/>
    </row>
    <row r="23" spans="1:9" ht="17.649999999999999">
      <c r="A23" s="4"/>
      <c r="B23" s="9" t="s">
        <v>156</v>
      </c>
      <c r="C23" s="159"/>
      <c r="D23" s="159"/>
      <c r="E23" s="159">
        <f>15000*E11</f>
        <v>150000</v>
      </c>
      <c r="F23" s="159">
        <f>15000*F11</f>
        <v>375000</v>
      </c>
      <c r="G23" s="159">
        <f>15000*G11</f>
        <v>750000</v>
      </c>
      <c r="H23" s="198" t="s">
        <v>217</v>
      </c>
      <c r="I23" s="79"/>
    </row>
    <row r="24" spans="1:9" ht="18" thickBot="1">
      <c r="A24" s="4"/>
      <c r="B24" s="9" t="s">
        <v>99</v>
      </c>
      <c r="C24" s="165"/>
      <c r="D24" s="170"/>
      <c r="E24" s="170">
        <f>0.02*E13</f>
        <v>40000</v>
      </c>
      <c r="F24" s="170">
        <f>0.02*F13</f>
        <v>125000</v>
      </c>
      <c r="G24" s="170">
        <f>0.02*G13</f>
        <v>300000</v>
      </c>
      <c r="H24" s="198" t="s">
        <v>215</v>
      </c>
      <c r="I24" s="79"/>
    </row>
    <row r="25" spans="1:9" ht="18" thickBot="1">
      <c r="A25" s="4"/>
      <c r="B25" s="152" t="s">
        <v>58</v>
      </c>
      <c r="C25" s="166">
        <f>SUM(C22:C24)</f>
        <v>0</v>
      </c>
      <c r="D25" s="167">
        <f>SUM(D22:D24)</f>
        <v>0</v>
      </c>
      <c r="E25" s="167">
        <f>SUM(E22:E24)</f>
        <v>540000</v>
      </c>
      <c r="F25" s="167">
        <f>SUM(F22:F24)</f>
        <v>1375000</v>
      </c>
      <c r="G25" s="15">
        <f>SUM(G22:G24)</f>
        <v>2800000</v>
      </c>
      <c r="H25" s="79"/>
      <c r="I25" s="79"/>
    </row>
    <row r="26" spans="1:9" ht="17.649999999999999">
      <c r="A26" s="4"/>
      <c r="B26" s="9" t="s">
        <v>57</v>
      </c>
      <c r="C26" s="144" t="s">
        <v>91</v>
      </c>
      <c r="D26" s="144" t="s">
        <v>91</v>
      </c>
      <c r="E26" s="144">
        <f>E25/E11</f>
        <v>54000</v>
      </c>
      <c r="F26" s="144">
        <f>F25/F11</f>
        <v>55000</v>
      </c>
      <c r="G26" s="145">
        <f>G25/G11</f>
        <v>56000</v>
      </c>
      <c r="H26" s="80"/>
      <c r="I26" s="80"/>
    </row>
    <row r="27" spans="1:9" ht="17.649999999999999">
      <c r="A27" s="4"/>
      <c r="B27" s="9" t="s">
        <v>56</v>
      </c>
      <c r="C27" s="159"/>
      <c r="D27" s="159"/>
      <c r="E27" s="159">
        <v>0</v>
      </c>
      <c r="F27" s="159">
        <v>0</v>
      </c>
      <c r="G27" s="160">
        <v>0</v>
      </c>
      <c r="H27" s="79"/>
      <c r="I27" s="79"/>
    </row>
    <row r="28" spans="1:9" ht="17.649999999999999">
      <c r="A28" s="4"/>
      <c r="B28" s="153" t="s">
        <v>100</v>
      </c>
      <c r="C28" s="114">
        <f>C25+C27</f>
        <v>0</v>
      </c>
      <c r="D28" s="133">
        <f>D25+D27</f>
        <v>0</v>
      </c>
      <c r="E28" s="133">
        <f>E25+E27</f>
        <v>540000</v>
      </c>
      <c r="F28" s="133">
        <f>F25+F27</f>
        <v>1375000</v>
      </c>
      <c r="G28" s="113">
        <f>G25+G27</f>
        <v>2800000</v>
      </c>
      <c r="H28" s="79"/>
      <c r="I28" s="79"/>
    </row>
    <row r="29" spans="1:9" ht="6.95" customHeight="1">
      <c r="A29" s="4"/>
      <c r="H29" s="58"/>
      <c r="I29" s="58"/>
    </row>
    <row r="30" spans="1:9" ht="17.649999999999999">
      <c r="A30" s="4">
        <v>4</v>
      </c>
      <c r="B30" s="13" t="s">
        <v>161</v>
      </c>
      <c r="C30" s="13"/>
      <c r="D30" s="13"/>
      <c r="E30" s="13"/>
      <c r="F30" s="13"/>
      <c r="G30" s="13"/>
      <c r="H30" s="58"/>
      <c r="I30" s="58"/>
    </row>
    <row r="31" spans="1:9" ht="17.649999999999999">
      <c r="A31" s="4"/>
      <c r="B31" s="127" t="s">
        <v>55</v>
      </c>
      <c r="C31" s="114">
        <f>C19-C28</f>
        <v>500000</v>
      </c>
      <c r="D31" s="111">
        <f>D19-D28</f>
        <v>500000</v>
      </c>
      <c r="E31" s="111">
        <f>E19-E28</f>
        <v>1460000</v>
      </c>
      <c r="F31" s="112">
        <f>F19-F28</f>
        <v>4875000</v>
      </c>
      <c r="G31" s="113">
        <f>G19-G28</f>
        <v>12200000</v>
      </c>
      <c r="H31" s="81"/>
      <c r="I31" s="81"/>
    </row>
    <row r="32" spans="1:9" ht="21" customHeight="1">
      <c r="B32" s="9" t="s">
        <v>59</v>
      </c>
      <c r="C32" s="59">
        <f>C31/C19</f>
        <v>1</v>
      </c>
      <c r="D32" s="59">
        <f>D31/D19</f>
        <v>1</v>
      </c>
      <c r="E32" s="59">
        <f>E31/E19</f>
        <v>0.73</v>
      </c>
      <c r="F32" s="59">
        <f>F31/F19</f>
        <v>0.78</v>
      </c>
      <c r="G32" s="71">
        <f>G31/G19</f>
        <v>0.81333333333333335</v>
      </c>
      <c r="H32" s="82"/>
      <c r="I32" s="82"/>
    </row>
    <row r="33" spans="1:9" ht="17.100000000000001" customHeight="1">
      <c r="A33" s="4"/>
      <c r="B33" t="s">
        <v>177</v>
      </c>
      <c r="H33" s="58"/>
      <c r="I33" s="58"/>
    </row>
    <row r="34" spans="1:9" ht="20.100000000000001" customHeight="1">
      <c r="A34" s="4">
        <v>5</v>
      </c>
      <c r="B34" s="13" t="s">
        <v>158</v>
      </c>
      <c r="C34" s="12"/>
      <c r="D34" s="12"/>
      <c r="E34" s="12"/>
      <c r="F34" s="12"/>
      <c r="G34" s="12"/>
      <c r="H34" s="58"/>
      <c r="I34" s="58"/>
    </row>
    <row r="35" spans="1:9" ht="20.100000000000001" customHeight="1">
      <c r="A35" s="4"/>
      <c r="B35" s="25" t="s">
        <v>193</v>
      </c>
      <c r="C35" s="144">
        <f>+(C17+C18)/1.1</f>
        <v>454545.45454545453</v>
      </c>
      <c r="D35" s="144">
        <f>+(D17+D18)/1.1</f>
        <v>454545.45454545453</v>
      </c>
      <c r="E35" s="144">
        <f>+(E17+E18)/1.1</f>
        <v>0</v>
      </c>
      <c r="F35" s="144">
        <f>+(F17+F18)/1.1</f>
        <v>0</v>
      </c>
      <c r="G35" s="145">
        <f>+(G17+G18)/1.1</f>
        <v>0</v>
      </c>
      <c r="H35" s="58"/>
      <c r="I35" s="58"/>
    </row>
    <row r="36" spans="1:9" ht="20.100000000000001" customHeight="1">
      <c r="A36" s="4"/>
      <c r="B36" s="24" t="s">
        <v>130</v>
      </c>
      <c r="C36" s="159">
        <v>25000</v>
      </c>
      <c r="D36" s="159">
        <v>100000</v>
      </c>
      <c r="E36" s="159">
        <f>0.15*E13</f>
        <v>300000</v>
      </c>
      <c r="F36" s="159">
        <f>0.15*F13</f>
        <v>937500</v>
      </c>
      <c r="G36" s="159">
        <f>0.15*G13</f>
        <v>2250000</v>
      </c>
      <c r="H36" s="198" t="s">
        <v>212</v>
      </c>
      <c r="I36" s="83"/>
    </row>
    <row r="37" spans="1:9" ht="20.100000000000001" customHeight="1">
      <c r="A37" s="4"/>
      <c r="B37" s="24" t="s">
        <v>131</v>
      </c>
      <c r="C37" s="159">
        <v>25000</v>
      </c>
      <c r="D37" s="159">
        <v>50000</v>
      </c>
      <c r="E37" s="159">
        <f>0.05*E13</f>
        <v>100000</v>
      </c>
      <c r="F37" s="159">
        <f>0.05*F13</f>
        <v>312500</v>
      </c>
      <c r="G37" s="159">
        <f>0.05*G13</f>
        <v>750000</v>
      </c>
      <c r="H37" s="198" t="s">
        <v>213</v>
      </c>
      <c r="I37" s="77"/>
    </row>
    <row r="38" spans="1:9" ht="17.649999999999999">
      <c r="A38" s="4"/>
      <c r="B38" s="9" t="s">
        <v>103</v>
      </c>
      <c r="C38" s="159">
        <v>150000</v>
      </c>
      <c r="D38" s="159">
        <v>250000</v>
      </c>
      <c r="E38" s="159">
        <v>500000</v>
      </c>
      <c r="F38" s="159">
        <v>1000000</v>
      </c>
      <c r="G38" s="159">
        <v>1500000</v>
      </c>
      <c r="H38" s="198" t="s">
        <v>218</v>
      </c>
      <c r="I38" s="69"/>
    </row>
    <row r="39" spans="1:9" ht="17.649999999999999">
      <c r="A39" s="4"/>
      <c r="B39" s="9" t="s">
        <v>105</v>
      </c>
      <c r="C39" s="159">
        <v>35000</v>
      </c>
      <c r="D39" s="159">
        <v>50000</v>
      </c>
      <c r="E39" s="159">
        <v>100000</v>
      </c>
      <c r="F39" s="159">
        <v>200000</v>
      </c>
      <c r="G39" s="159">
        <v>300000</v>
      </c>
      <c r="H39" s="198" t="s">
        <v>218</v>
      </c>
      <c r="I39" s="69"/>
    </row>
    <row r="40" spans="1:9" ht="18" thickBot="1">
      <c r="A40" s="4"/>
      <c r="B40" s="9" t="s">
        <v>106</v>
      </c>
      <c r="C40" s="165">
        <v>15000</v>
      </c>
      <c r="D40" s="165">
        <v>25000</v>
      </c>
      <c r="E40" s="165">
        <v>50000</v>
      </c>
      <c r="F40" s="159">
        <v>100000</v>
      </c>
      <c r="G40" s="159">
        <v>150000</v>
      </c>
      <c r="H40" s="198" t="s">
        <v>219</v>
      </c>
      <c r="I40" s="69"/>
    </row>
    <row r="41" spans="1:9" ht="18" thickBot="1">
      <c r="A41" s="4"/>
      <c r="B41" s="11" t="s">
        <v>160</v>
      </c>
      <c r="C41" s="166">
        <f>SUM(C36:C40)</f>
        <v>250000</v>
      </c>
      <c r="D41" s="167">
        <f>SUM(D36:D40)</f>
        <v>475000</v>
      </c>
      <c r="E41" s="167">
        <f>SUM(E36:E40)</f>
        <v>1050000</v>
      </c>
      <c r="F41" s="167">
        <f>SUM(F36:F40)</f>
        <v>2550000</v>
      </c>
      <c r="G41" s="15">
        <f>SUM(G36:G40)</f>
        <v>4950000</v>
      </c>
      <c r="H41" s="69"/>
      <c r="I41" s="69"/>
    </row>
    <row r="42" spans="1:9" ht="17.649999999999999">
      <c r="A42" s="4"/>
      <c r="B42" s="9" t="s">
        <v>104</v>
      </c>
      <c r="C42" s="159">
        <v>300000</v>
      </c>
      <c r="D42" s="161">
        <v>750000</v>
      </c>
      <c r="E42" s="161">
        <v>1250000</v>
      </c>
      <c r="F42" s="177">
        <v>1500000</v>
      </c>
      <c r="G42" s="177">
        <f>0.1*G15</f>
        <v>1500000</v>
      </c>
      <c r="H42" s="198" t="s">
        <v>266</v>
      </c>
      <c r="I42" s="69"/>
    </row>
    <row r="43" spans="1:9" ht="17.649999999999999">
      <c r="A43" s="4"/>
      <c r="B43" s="154" t="s">
        <v>159</v>
      </c>
      <c r="C43" s="114">
        <f>SUM(C35,C41:C42)</f>
        <v>1004545.4545454546</v>
      </c>
      <c r="D43" s="133">
        <f>SUM(D35,D41:D42)</f>
        <v>1679545.4545454546</v>
      </c>
      <c r="E43" s="133">
        <f>SUM(E35,E41:E42)</f>
        <v>2300000</v>
      </c>
      <c r="F43" s="133">
        <f>SUM(F35,F41:F42)</f>
        <v>4050000</v>
      </c>
      <c r="G43" s="113">
        <f>SUM(G35,G41:G42)</f>
        <v>6450000</v>
      </c>
      <c r="H43" s="69"/>
      <c r="I43" s="69"/>
    </row>
    <row r="44" spans="1:9" ht="6.95" customHeight="1">
      <c r="A44" s="4"/>
      <c r="B44" s="17"/>
      <c r="C44" s="17"/>
      <c r="D44" s="17"/>
      <c r="E44" s="17"/>
      <c r="F44" s="17"/>
      <c r="G44" s="70"/>
      <c r="H44" s="69"/>
      <c r="I44" s="69"/>
    </row>
    <row r="45" spans="1:9" ht="17.649999999999999">
      <c r="A45" s="4">
        <v>6</v>
      </c>
      <c r="B45" s="13" t="s">
        <v>166</v>
      </c>
      <c r="C45" s="114">
        <f>C31-C43</f>
        <v>-504545.45454545459</v>
      </c>
      <c r="D45" s="133">
        <f>D31-D43</f>
        <v>-1179545.4545454546</v>
      </c>
      <c r="E45" s="133">
        <f>E31-E43</f>
        <v>-840000</v>
      </c>
      <c r="F45" s="133">
        <f>F31-F43</f>
        <v>825000</v>
      </c>
      <c r="G45" s="113">
        <f>G31-G43</f>
        <v>5750000</v>
      </c>
      <c r="H45" s="69"/>
      <c r="I45" s="69"/>
    </row>
    <row r="46" spans="1:9" ht="17.649999999999999">
      <c r="A46" s="4"/>
      <c r="B46" s="20" t="s">
        <v>182</v>
      </c>
      <c r="C46" s="155">
        <f>C45/C19</f>
        <v>-1.0090909090909093</v>
      </c>
      <c r="D46" s="155">
        <f>D45/D19</f>
        <v>-2.3590909090909093</v>
      </c>
      <c r="E46" s="155">
        <f>E45/E19</f>
        <v>-0.42</v>
      </c>
      <c r="F46" s="155">
        <f>F45/F19</f>
        <v>0.13200000000000001</v>
      </c>
      <c r="G46" s="156">
        <f>G45/G19</f>
        <v>0.38333333333333336</v>
      </c>
      <c r="H46" s="142"/>
      <c r="I46" s="82"/>
    </row>
    <row r="47" spans="1:9" ht="17.649999999999999">
      <c r="A47" s="4"/>
      <c r="B47" t="s">
        <v>178</v>
      </c>
      <c r="H47" s="58"/>
    </row>
    <row r="48" spans="1:9" ht="17.649999999999999">
      <c r="A48" s="4">
        <v>7</v>
      </c>
      <c r="B48" s="13" t="s">
        <v>162</v>
      </c>
      <c r="C48" s="12"/>
      <c r="D48" s="12"/>
      <c r="E48" s="12"/>
      <c r="F48" s="12"/>
      <c r="G48" s="12"/>
      <c r="H48" s="58"/>
    </row>
    <row r="49" spans="2:9">
      <c r="B49" s="135" t="s">
        <v>166</v>
      </c>
      <c r="C49" s="114">
        <f>C45</f>
        <v>-504545.45454545459</v>
      </c>
      <c r="D49" s="133">
        <f>D45</f>
        <v>-1179545.4545454546</v>
      </c>
      <c r="E49" s="133">
        <f>E45</f>
        <v>-840000</v>
      </c>
      <c r="F49" s="133">
        <f>F45</f>
        <v>825000</v>
      </c>
      <c r="G49" s="113">
        <f>G45</f>
        <v>5750000</v>
      </c>
      <c r="H49" s="77"/>
      <c r="I49" s="26"/>
    </row>
    <row r="50" spans="2:9">
      <c r="B50" s="135" t="s">
        <v>170</v>
      </c>
      <c r="C50" s="159">
        <v>0</v>
      </c>
      <c r="D50" s="159">
        <v>500000</v>
      </c>
      <c r="E50" s="159">
        <v>0</v>
      </c>
      <c r="F50" s="159">
        <v>0</v>
      </c>
      <c r="G50" s="159">
        <v>0</v>
      </c>
      <c r="H50" s="130"/>
    </row>
    <row r="51" spans="2:9">
      <c r="B51" s="135" t="s">
        <v>168</v>
      </c>
      <c r="C51" s="159">
        <v>0</v>
      </c>
      <c r="D51" s="159">
        <v>0</v>
      </c>
      <c r="E51" s="159">
        <v>0</v>
      </c>
      <c r="F51" s="159">
        <v>0</v>
      </c>
      <c r="G51" s="159">
        <v>0</v>
      </c>
      <c r="H51" s="198" t="s">
        <v>211</v>
      </c>
      <c r="I51" s="26"/>
    </row>
    <row r="52" spans="2:9">
      <c r="B52" s="137" t="s">
        <v>169</v>
      </c>
      <c r="C52" s="159">
        <v>0</v>
      </c>
      <c r="D52" s="159">
        <v>0</v>
      </c>
      <c r="E52" s="159">
        <v>0</v>
      </c>
      <c r="F52" s="159">
        <v>0</v>
      </c>
      <c r="G52" s="159">
        <v>0</v>
      </c>
      <c r="H52" s="134" t="s">
        <v>173</v>
      </c>
    </row>
    <row r="53" spans="2:9">
      <c r="B53" s="137" t="s">
        <v>171</v>
      </c>
      <c r="C53" s="165">
        <v>500000</v>
      </c>
      <c r="D53" s="165">
        <v>500000</v>
      </c>
      <c r="E53" s="165">
        <v>500000</v>
      </c>
      <c r="F53" s="165">
        <v>0</v>
      </c>
      <c r="G53" s="168">
        <v>0</v>
      </c>
      <c r="H53" s="134" t="s">
        <v>176</v>
      </c>
    </row>
    <row r="54" spans="2:9">
      <c r="B54" s="25" t="s">
        <v>163</v>
      </c>
      <c r="C54" s="180">
        <f>C49+C50-C51-C52+C53</f>
        <v>-4545.4545454545878</v>
      </c>
      <c r="D54" s="180">
        <f>D49+D50-D51-D52+D53</f>
        <v>-179545.45454545459</v>
      </c>
      <c r="E54" s="180">
        <f>E49+E50-E51-E52+E53</f>
        <v>-340000</v>
      </c>
      <c r="F54" s="180">
        <f>F49+F50-F51-F52+F53</f>
        <v>825000</v>
      </c>
      <c r="G54" s="184">
        <f>G49+G50-G51-G52+G53</f>
        <v>5750000</v>
      </c>
      <c r="H54" s="8"/>
    </row>
    <row r="55" spans="2:9" ht="14.65">
      <c r="B55" s="13" t="s">
        <v>164</v>
      </c>
      <c r="C55" s="149">
        <f>C54</f>
        <v>-4545.4545454545878</v>
      </c>
      <c r="D55" s="150">
        <f>D54+C55</f>
        <v>-184090.90909090918</v>
      </c>
      <c r="E55" s="150">
        <f>E54+D55</f>
        <v>-524090.90909090918</v>
      </c>
      <c r="F55" s="150">
        <f>F54+E55</f>
        <v>300909.09090909082</v>
      </c>
      <c r="G55" s="151">
        <f>G54+F55</f>
        <v>6050909.0909090908</v>
      </c>
      <c r="H55" s="134" t="s">
        <v>174</v>
      </c>
    </row>
    <row r="57" spans="2:9">
      <c r="B57" t="s">
        <v>267</v>
      </c>
      <c r="C57" s="185">
        <f>C35+C42</f>
        <v>754545.45454545459</v>
      </c>
      <c r="D57" s="185">
        <f>D35+D42</f>
        <v>1204545.4545454546</v>
      </c>
      <c r="E57" s="185">
        <f>E35+E42</f>
        <v>1250000</v>
      </c>
      <c r="F57" s="185">
        <f>F35+F42</f>
        <v>1500000</v>
      </c>
      <c r="G57" s="185">
        <f>G35+G42</f>
        <v>1500000</v>
      </c>
    </row>
  </sheetData>
  <mergeCells count="3">
    <mergeCell ref="B1:G1"/>
    <mergeCell ref="C3:F3"/>
    <mergeCell ref="C4:F4"/>
  </mergeCells>
  <pageMargins left="0.75" right="0.75" top="1" bottom="1" header="0.5" footer="0.5"/>
  <pageSetup orientation="portrait" horizontalDpi="4294967292" verticalDpi="4294967292"/>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2"/>
  <sheetViews>
    <sheetView topLeftCell="A14" workbookViewId="0">
      <selection activeCell="C3" sqref="C3"/>
    </sheetView>
  </sheetViews>
  <sheetFormatPr defaultColWidth="11" defaultRowHeight="12.4"/>
  <cols>
    <col min="1" max="2" width="11" customWidth="1"/>
    <col min="3" max="3" width="67.64453125" style="36" customWidth="1"/>
    <col min="4" max="4" width="14.3515625" customWidth="1"/>
    <col min="5" max="5" width="15.46875" customWidth="1"/>
    <col min="6" max="6" width="14" customWidth="1"/>
    <col min="7" max="7" width="19.1171875" customWidth="1"/>
    <col min="8" max="10" width="11" customWidth="1"/>
    <col min="11" max="11" width="14.46875" customWidth="1"/>
  </cols>
  <sheetData>
    <row r="1" spans="1:7" ht="18" thickBot="1">
      <c r="A1" s="221" t="s">
        <v>137</v>
      </c>
      <c r="B1" s="222"/>
      <c r="C1" s="222"/>
      <c r="D1" s="67"/>
      <c r="E1" s="67"/>
    </row>
    <row r="2" spans="1:7" ht="37.5" thickBot="1">
      <c r="A2" s="33" t="s">
        <v>139</v>
      </c>
      <c r="B2" s="33" t="s">
        <v>138</v>
      </c>
      <c r="C2" s="40" t="s">
        <v>194</v>
      </c>
    </row>
    <row r="3" spans="1:7" ht="124.15" thickBot="1">
      <c r="A3" s="33" t="s">
        <v>140</v>
      </c>
      <c r="B3" s="37" t="s">
        <v>141</v>
      </c>
      <c r="C3" s="41" t="s">
        <v>84</v>
      </c>
    </row>
    <row r="4" spans="1:7" ht="146.1" customHeight="1" thickBot="1">
      <c r="A4" s="33"/>
      <c r="B4" s="37" t="s">
        <v>96</v>
      </c>
      <c r="C4" s="40" t="s">
        <v>155</v>
      </c>
    </row>
    <row r="5" spans="1:7" ht="29.1" customHeight="1" thickBot="1">
      <c r="A5" s="34"/>
      <c r="B5" s="38" t="s">
        <v>97</v>
      </c>
      <c r="C5" s="42" t="s">
        <v>73</v>
      </c>
    </row>
    <row r="6" spans="1:7" ht="159.75" customHeight="1" thickBot="1">
      <c r="A6" s="39" t="s">
        <v>85</v>
      </c>
      <c r="B6" s="38" t="s">
        <v>98</v>
      </c>
      <c r="C6" s="43" t="s">
        <v>4</v>
      </c>
    </row>
    <row r="7" spans="1:7" ht="42.75" customHeight="1" thickBot="1">
      <c r="A7" s="34"/>
      <c r="B7" s="38" t="s">
        <v>135</v>
      </c>
      <c r="C7" s="43" t="s">
        <v>5</v>
      </c>
    </row>
    <row r="8" spans="1:7" ht="251.1" customHeight="1" thickBot="1">
      <c r="A8" s="33" t="s">
        <v>136</v>
      </c>
      <c r="B8" s="31" t="s">
        <v>102</v>
      </c>
      <c r="C8" s="44" t="s">
        <v>0</v>
      </c>
    </row>
    <row r="9" spans="1:7" ht="84" customHeight="1" thickBot="1">
      <c r="A9" s="35"/>
      <c r="B9" s="32"/>
      <c r="C9" s="44" t="s">
        <v>129</v>
      </c>
    </row>
    <row r="10" spans="1:7" ht="14.65">
      <c r="A10" s="22"/>
      <c r="B10" s="30"/>
      <c r="C10" s="30" t="s">
        <v>74</v>
      </c>
      <c r="D10" s="30"/>
      <c r="E10" s="30"/>
      <c r="F10" s="30"/>
      <c r="G10" s="30"/>
    </row>
    <row r="11" spans="1:7">
      <c r="A11" s="21"/>
      <c r="B11" s="21" t="s">
        <v>142</v>
      </c>
      <c r="C11" s="21" t="s">
        <v>143</v>
      </c>
      <c r="D11" s="21" t="s">
        <v>144</v>
      </c>
      <c r="E11" s="21" t="s">
        <v>151</v>
      </c>
      <c r="F11" s="21" t="s">
        <v>152</v>
      </c>
      <c r="G11" s="21" t="s">
        <v>145</v>
      </c>
    </row>
    <row r="12" spans="1:7">
      <c r="A12" s="16" t="s">
        <v>86</v>
      </c>
      <c r="B12" s="16" t="s">
        <v>146</v>
      </c>
      <c r="C12" s="16"/>
      <c r="D12" s="47"/>
      <c r="E12" s="226" t="s">
        <v>149</v>
      </c>
      <c r="F12" s="227"/>
      <c r="G12" s="228"/>
    </row>
    <row r="13" spans="1:7">
      <c r="A13" s="16" t="s">
        <v>87</v>
      </c>
      <c r="B13" s="16" t="s">
        <v>146</v>
      </c>
      <c r="C13" s="16"/>
      <c r="D13" s="47"/>
      <c r="E13" s="229" t="s">
        <v>147</v>
      </c>
      <c r="F13" s="227"/>
      <c r="G13" s="227"/>
    </row>
    <row r="14" spans="1:7">
      <c r="A14" s="16"/>
      <c r="B14" s="16"/>
      <c r="C14" s="16"/>
      <c r="D14" s="47"/>
      <c r="E14" s="19"/>
      <c r="F14" s="17"/>
      <c r="G14" s="17"/>
    </row>
    <row r="15" spans="1:7">
      <c r="A15" s="16" t="s">
        <v>88</v>
      </c>
      <c r="B15" s="16" t="s">
        <v>148</v>
      </c>
      <c r="C15" s="16"/>
      <c r="D15" s="47"/>
      <c r="E15" s="19">
        <v>0.2</v>
      </c>
      <c r="F15" s="17">
        <f>G15-D15</f>
        <v>0</v>
      </c>
      <c r="G15" s="17">
        <f>D15/(1-E15)</f>
        <v>0</v>
      </c>
    </row>
    <row r="16" spans="1:7">
      <c r="A16" s="16"/>
      <c r="B16" s="16" t="s">
        <v>146</v>
      </c>
      <c r="C16" s="16"/>
      <c r="D16" s="47"/>
      <c r="E16" s="230" t="s">
        <v>150</v>
      </c>
      <c r="F16" s="227"/>
      <c r="G16" s="228"/>
    </row>
    <row r="17" spans="1:7" ht="23.1" customHeight="1">
      <c r="A17" s="16"/>
      <c r="B17" s="16"/>
      <c r="C17" s="16"/>
      <c r="D17" s="47"/>
      <c r="E17" s="19"/>
      <c r="F17" s="17"/>
      <c r="G17" s="17"/>
    </row>
    <row r="18" spans="1:7">
      <c r="A18" s="16" t="s">
        <v>89</v>
      </c>
      <c r="B18" s="16" t="s">
        <v>148</v>
      </c>
      <c r="C18" s="16"/>
      <c r="D18" s="47"/>
      <c r="E18" s="19">
        <v>0.2</v>
      </c>
      <c r="F18" s="17">
        <f>G18-D18</f>
        <v>0</v>
      </c>
      <c r="G18" s="17">
        <f>D18/(1-E18)</f>
        <v>0</v>
      </c>
    </row>
    <row r="19" spans="1:7" ht="26.1" customHeight="1">
      <c r="A19" s="16"/>
      <c r="B19" s="16" t="s">
        <v>146</v>
      </c>
      <c r="C19" s="16"/>
      <c r="D19" s="47"/>
      <c r="E19" s="223" t="s">
        <v>154</v>
      </c>
      <c r="F19" s="224"/>
      <c r="G19" s="225"/>
    </row>
    <row r="20" spans="1:7" ht="35.1" customHeight="1">
      <c r="A20" s="16"/>
      <c r="B20" s="16"/>
      <c r="C20" s="16"/>
      <c r="D20" s="47"/>
      <c r="E20" s="19"/>
      <c r="F20" s="17"/>
      <c r="G20" s="17"/>
    </row>
    <row r="21" spans="1:7" ht="65.099999999999994" customHeight="1">
      <c r="A21" s="16" t="s">
        <v>90</v>
      </c>
      <c r="B21" s="16" t="s">
        <v>148</v>
      </c>
      <c r="C21" s="16"/>
      <c r="D21" s="47"/>
      <c r="E21" s="19">
        <v>0.2</v>
      </c>
      <c r="F21" s="17">
        <f>G21-D21</f>
        <v>0</v>
      </c>
      <c r="G21" s="17">
        <f>D21/(1-E21)</f>
        <v>0</v>
      </c>
    </row>
    <row r="22" spans="1:7">
      <c r="A22" s="16"/>
      <c r="B22" s="23" t="s">
        <v>153</v>
      </c>
      <c r="C22" s="16"/>
      <c r="D22" s="47"/>
      <c r="E22" s="19">
        <v>0.2</v>
      </c>
      <c r="F22" s="17">
        <f>G22-D22</f>
        <v>0</v>
      </c>
      <c r="G22" s="17">
        <f>D22/(1-E22)</f>
        <v>0</v>
      </c>
    </row>
  </sheetData>
  <mergeCells count="5">
    <mergeCell ref="A1:C1"/>
    <mergeCell ref="E19:G19"/>
    <mergeCell ref="E12:G12"/>
    <mergeCell ref="E13:G13"/>
    <mergeCell ref="E16:G16"/>
  </mergeCells>
  <phoneticPr fontId="15" type="noConversion"/>
  <pageMargins left="0.75" right="0.75" top="1" bottom="1" header="0.5" footer="0.5"/>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3"/>
  <sheetViews>
    <sheetView tabSelected="1" topLeftCell="A18" workbookViewId="0">
      <selection activeCell="H16" sqref="H16"/>
    </sheetView>
  </sheetViews>
  <sheetFormatPr defaultColWidth="11" defaultRowHeight="12.4"/>
  <cols>
    <col min="1" max="1" width="4.1171875" customWidth="1"/>
    <col min="2" max="2" width="47.46875" customWidth="1"/>
    <col min="3" max="5" width="14.46875" customWidth="1"/>
    <col min="6" max="6" width="14.3515625" bestFit="1" customWidth="1"/>
    <col min="7" max="7" width="15.1171875" bestFit="1" customWidth="1"/>
    <col min="8" max="8" width="14.87890625" customWidth="1"/>
    <col min="9" max="9" width="14.1171875" customWidth="1"/>
  </cols>
  <sheetData>
    <row r="1" spans="1:13" ht="22.9">
      <c r="B1" s="212" t="s">
        <v>191</v>
      </c>
      <c r="C1" s="213"/>
      <c r="D1" s="213"/>
      <c r="E1" s="213"/>
      <c r="F1" s="213"/>
      <c r="G1" s="214"/>
      <c r="I1" s="84"/>
    </row>
    <row r="2" spans="1:13">
      <c r="B2" s="110"/>
      <c r="C2" s="110"/>
      <c r="D2" s="110"/>
      <c r="E2" s="110"/>
      <c r="F2" s="110"/>
      <c r="G2" s="110"/>
      <c r="I2" s="69"/>
    </row>
    <row r="3" spans="1:13" ht="14.65">
      <c r="B3" s="110"/>
      <c r="C3" s="215" t="s">
        <v>195</v>
      </c>
      <c r="D3" s="216"/>
      <c r="E3" s="216"/>
      <c r="F3" s="217"/>
      <c r="G3" s="110"/>
    </row>
    <row r="4" spans="1:13" ht="14.65">
      <c r="B4" s="110"/>
      <c r="C4" s="218" t="s">
        <v>189</v>
      </c>
      <c r="D4" s="219"/>
      <c r="E4" s="219"/>
      <c r="F4" s="220"/>
      <c r="G4" s="110"/>
    </row>
    <row r="5" spans="1:13">
      <c r="B5" s="110"/>
      <c r="C5" s="110"/>
      <c r="D5" s="110"/>
      <c r="E5" s="110"/>
      <c r="F5" s="110"/>
      <c r="G5" s="110"/>
    </row>
    <row r="6" spans="1:13" ht="18" thickBot="1">
      <c r="A6" s="2">
        <v>1</v>
      </c>
      <c r="B6" s="121" t="s">
        <v>138</v>
      </c>
      <c r="C6" s="52" t="s">
        <v>186</v>
      </c>
      <c r="D6" s="52" t="s">
        <v>188</v>
      </c>
      <c r="E6" s="52">
        <v>2023</v>
      </c>
      <c r="F6" s="52">
        <v>2024</v>
      </c>
      <c r="G6" s="52">
        <v>2025</v>
      </c>
      <c r="H6" s="72"/>
      <c r="I6" s="72"/>
    </row>
    <row r="7" spans="1:13" ht="21" customHeight="1" thickBot="1">
      <c r="B7" s="3" t="s">
        <v>184</v>
      </c>
      <c r="C7" s="159">
        <v>225000000</v>
      </c>
      <c r="D7" s="159">
        <f>C7*1.08</f>
        <v>243000000.00000003</v>
      </c>
      <c r="E7" s="159">
        <f>D7*1.08</f>
        <v>262440000.00000006</v>
      </c>
      <c r="F7" s="159">
        <f>E7*1.08</f>
        <v>283435200.00000006</v>
      </c>
      <c r="G7" s="159">
        <f>F7*1.08</f>
        <v>306110016.00000006</v>
      </c>
      <c r="H7" s="69"/>
      <c r="I7" s="69"/>
      <c r="M7" s="141"/>
    </row>
    <row r="8" spans="1:13" ht="21.75" customHeight="1" thickBot="1">
      <c r="A8" s="2"/>
      <c r="B8" s="3" t="s">
        <v>183</v>
      </c>
      <c r="C8" s="143" t="s">
        <v>91</v>
      </c>
      <c r="D8" s="59">
        <f>(D7-C7)/C7</f>
        <v>8.0000000000000127E-2</v>
      </c>
      <c r="E8" s="59">
        <f>(E7-D7)/D7</f>
        <v>8.0000000000000113E-2</v>
      </c>
      <c r="F8" s="59">
        <f>(F7-E7)/E7</f>
        <v>7.9999999999999988E-2</v>
      </c>
      <c r="G8" s="71">
        <f>(G7-F7)/F7</f>
        <v>7.9999999999999988E-2</v>
      </c>
      <c r="H8" s="73"/>
      <c r="I8" s="73"/>
    </row>
    <row r="9" spans="1:13" ht="6.95" customHeight="1" thickBot="1">
      <c r="A9" s="4"/>
      <c r="B9" s="45"/>
      <c r="H9" s="58"/>
      <c r="I9" s="58"/>
    </row>
    <row r="10" spans="1:13" ht="18" thickBot="1">
      <c r="A10" s="4">
        <v>2</v>
      </c>
      <c r="B10" s="5" t="s">
        <v>132</v>
      </c>
      <c r="C10" s="6"/>
      <c r="D10" s="6"/>
      <c r="E10" s="6"/>
      <c r="F10" s="6"/>
      <c r="G10" s="6"/>
      <c r="H10" s="74"/>
      <c r="I10" s="74"/>
    </row>
    <row r="11" spans="1:13" ht="17.649999999999999">
      <c r="A11" s="4"/>
      <c r="B11" s="7" t="s">
        <v>92</v>
      </c>
      <c r="C11" s="162">
        <f>'ProForma income - EBITDA only'!C11</f>
        <v>0</v>
      </c>
      <c r="D11" s="162">
        <f>'ProForma income - EBITDA only'!D11</f>
        <v>0</v>
      </c>
      <c r="E11" s="162">
        <f>'ProForma income - EBITDA only'!E11</f>
        <v>10</v>
      </c>
      <c r="F11" s="162">
        <f>'ProForma income - EBITDA only'!F11</f>
        <v>25</v>
      </c>
      <c r="G11" s="162">
        <f>'ProForma income - EBITDA only'!G11</f>
        <v>50</v>
      </c>
      <c r="H11" s="68"/>
      <c r="I11" s="68"/>
    </row>
    <row r="12" spans="1:13" ht="17.649999999999999">
      <c r="A12" s="4"/>
      <c r="B12" s="9" t="s">
        <v>93</v>
      </c>
      <c r="C12" s="159">
        <f>'ProForma income - EBITDA only'!C12</f>
        <v>0</v>
      </c>
      <c r="D12" s="159">
        <f>'ProForma income - EBITDA only'!D12</f>
        <v>0</v>
      </c>
      <c r="E12" s="159">
        <f>'ProForma income - EBITDA only'!E12</f>
        <v>200000</v>
      </c>
      <c r="F12" s="159">
        <f>'ProForma income - EBITDA only'!F12</f>
        <v>250000</v>
      </c>
      <c r="G12" s="159">
        <f>'ProForma income - EBITDA only'!G12</f>
        <v>300000</v>
      </c>
      <c r="H12" s="69"/>
      <c r="I12" s="69"/>
    </row>
    <row r="13" spans="1:13" ht="17.649999999999999">
      <c r="A13" s="4"/>
      <c r="B13" s="9" t="s">
        <v>94</v>
      </c>
      <c r="C13" s="144">
        <f>C11*C12</f>
        <v>0</v>
      </c>
      <c r="D13" s="144">
        <f>D11*D12</f>
        <v>0</v>
      </c>
      <c r="E13" s="144">
        <f>E11*E12</f>
        <v>2000000</v>
      </c>
      <c r="F13" s="144">
        <f>F11*F12</f>
        <v>6250000</v>
      </c>
      <c r="G13" s="145">
        <f>G11*G12</f>
        <v>15000000</v>
      </c>
      <c r="H13" s="75"/>
      <c r="I13" s="75"/>
    </row>
    <row r="14" spans="1:13" ht="18" thickBot="1">
      <c r="A14" s="4"/>
      <c r="B14" s="10" t="s">
        <v>95</v>
      </c>
      <c r="C14" s="159">
        <v>0</v>
      </c>
      <c r="D14" s="159">
        <v>0</v>
      </c>
      <c r="E14" s="159">
        <v>0</v>
      </c>
      <c r="F14" s="159">
        <v>0</v>
      </c>
      <c r="G14" s="160">
        <v>0</v>
      </c>
      <c r="H14" s="198" t="s">
        <v>220</v>
      </c>
      <c r="I14" s="69"/>
    </row>
    <row r="15" spans="1:13" ht="18" thickBot="1">
      <c r="A15" s="4"/>
      <c r="B15" s="11" t="s">
        <v>134</v>
      </c>
      <c r="C15" s="15">
        <f>C13+C14</f>
        <v>0</v>
      </c>
      <c r="D15" s="167">
        <f>D13+D14</f>
        <v>0</v>
      </c>
      <c r="E15" s="15">
        <f>E13+E14</f>
        <v>2000000</v>
      </c>
      <c r="F15" s="182">
        <f>F13+F14</f>
        <v>6250000</v>
      </c>
      <c r="G15" s="182">
        <f>G13+G14</f>
        <v>15000000</v>
      </c>
      <c r="H15" s="75"/>
      <c r="I15" s="75"/>
    </row>
    <row r="16" spans="1:13" ht="17.649999999999999">
      <c r="A16" s="4"/>
      <c r="B16" s="147" t="s">
        <v>187</v>
      </c>
      <c r="C16" s="174">
        <f>(C15/C7)</f>
        <v>0</v>
      </c>
      <c r="D16" s="174">
        <f>(D15/D7)</f>
        <v>0</v>
      </c>
      <c r="E16" s="174">
        <f>(E15/E7)</f>
        <v>7.6207895137936276E-3</v>
      </c>
      <c r="F16" s="174">
        <f>(F15/F7)</f>
        <v>2.2050895583893598E-2</v>
      </c>
      <c r="G16" s="175">
        <f>G15/G7</f>
        <v>4.9001990186430221E-2</v>
      </c>
      <c r="H16" s="76"/>
      <c r="I16" s="76"/>
    </row>
    <row r="17" spans="1:9" ht="17.649999999999999">
      <c r="A17" s="4"/>
      <c r="B17" s="9" t="s">
        <v>133</v>
      </c>
      <c r="C17" s="159">
        <f>'ProForma income - EBITDA only'!C17</f>
        <v>475000</v>
      </c>
      <c r="D17" s="159">
        <f>'ProForma income - EBITDA only'!D17</f>
        <v>475000</v>
      </c>
      <c r="E17" s="159">
        <f>'ProForma income - EBITDA only'!E17</f>
        <v>0</v>
      </c>
      <c r="F17" s="159">
        <f>'ProForma income - EBITDA only'!F17</f>
        <v>0</v>
      </c>
      <c r="G17" s="159">
        <f>'ProForma income - EBITDA only'!G17</f>
        <v>0</v>
      </c>
      <c r="H17" s="77"/>
      <c r="I17" s="77"/>
    </row>
    <row r="18" spans="1:9" ht="17.649999999999999">
      <c r="A18" s="4"/>
      <c r="B18" s="176" t="s">
        <v>192</v>
      </c>
      <c r="C18" s="159">
        <f>'ProForma income - EBITDA only'!C18</f>
        <v>25000</v>
      </c>
      <c r="D18" s="159">
        <f>'ProForma income - EBITDA only'!D18</f>
        <v>25000</v>
      </c>
      <c r="E18" s="159">
        <f>'ProForma income - EBITDA only'!E18</f>
        <v>0</v>
      </c>
      <c r="F18" s="159">
        <f>'ProForma income - EBITDA only'!F18</f>
        <v>0</v>
      </c>
      <c r="G18" s="159">
        <f>'ProForma income - EBITDA only'!G18</f>
        <v>0</v>
      </c>
      <c r="H18" s="77"/>
      <c r="I18" s="77"/>
    </row>
    <row r="19" spans="1:9" ht="17.649999999999999">
      <c r="A19" s="4"/>
      <c r="B19" s="14" t="s">
        <v>60</v>
      </c>
      <c r="C19" s="173">
        <f>C15+C17+C18</f>
        <v>500000</v>
      </c>
      <c r="D19" s="173">
        <f>D15+D17+D18</f>
        <v>500000</v>
      </c>
      <c r="E19" s="173">
        <f>E15+E17+E18</f>
        <v>2000000</v>
      </c>
      <c r="F19" s="173">
        <f>F15+F17+F18</f>
        <v>6250000</v>
      </c>
      <c r="G19" s="173">
        <f>G15+G17+G18</f>
        <v>15000000</v>
      </c>
      <c r="H19" s="68"/>
      <c r="I19" s="68"/>
    </row>
    <row r="20" spans="1:9" ht="6.95" customHeight="1">
      <c r="A20" s="4"/>
      <c r="H20" s="58"/>
      <c r="I20" s="58"/>
    </row>
    <row r="21" spans="1:9" ht="21.75" customHeight="1">
      <c r="A21" s="4">
        <v>3</v>
      </c>
      <c r="B21" s="13" t="s">
        <v>96</v>
      </c>
      <c r="C21" s="13"/>
      <c r="D21" s="13"/>
      <c r="E21" s="13"/>
      <c r="F21" s="13"/>
      <c r="G21" s="13"/>
      <c r="H21" s="78"/>
      <c r="I21" s="78"/>
    </row>
    <row r="22" spans="1:9" ht="17.649999999999999">
      <c r="A22" s="4"/>
      <c r="B22" s="9" t="s">
        <v>97</v>
      </c>
      <c r="C22" s="159">
        <f>'ProForma income - EBITDA only'!C22</f>
        <v>0</v>
      </c>
      <c r="D22" s="159">
        <f>'ProForma income - EBITDA only'!D22</f>
        <v>0</v>
      </c>
      <c r="E22" s="159">
        <f>'ProForma income - EBITDA only'!E22</f>
        <v>350000</v>
      </c>
      <c r="F22" s="159">
        <f>'ProForma income - EBITDA only'!F22</f>
        <v>875000</v>
      </c>
      <c r="G22" s="159">
        <f>'ProForma income - EBITDA only'!G22</f>
        <v>1750000</v>
      </c>
      <c r="H22" s="198" t="s">
        <v>216</v>
      </c>
      <c r="I22" s="79"/>
    </row>
    <row r="23" spans="1:9" ht="17.649999999999999">
      <c r="A23" s="4"/>
      <c r="B23" s="9" t="s">
        <v>156</v>
      </c>
      <c r="C23" s="159">
        <f>'ProForma income - EBITDA only'!C23</f>
        <v>0</v>
      </c>
      <c r="D23" s="159">
        <f>'ProForma income - EBITDA only'!D23</f>
        <v>0</v>
      </c>
      <c r="E23" s="159">
        <f>'ProForma income - EBITDA only'!E23</f>
        <v>150000</v>
      </c>
      <c r="F23" s="159">
        <f>'ProForma income - EBITDA only'!F23</f>
        <v>375000</v>
      </c>
      <c r="G23" s="159">
        <f>'ProForma income - EBITDA only'!G23</f>
        <v>750000</v>
      </c>
      <c r="H23" s="198" t="s">
        <v>217</v>
      </c>
      <c r="I23" s="79"/>
    </row>
    <row r="24" spans="1:9" ht="18" thickBot="1">
      <c r="A24" s="4"/>
      <c r="B24" s="9" t="s">
        <v>99</v>
      </c>
      <c r="C24" s="159">
        <f>'ProForma income - EBITDA only'!C24</f>
        <v>0</v>
      </c>
      <c r="D24" s="159">
        <f>'ProForma income - EBITDA only'!D24</f>
        <v>0</v>
      </c>
      <c r="E24" s="159">
        <f>'ProForma income - EBITDA only'!E24</f>
        <v>40000</v>
      </c>
      <c r="F24" s="159">
        <f>'ProForma income - EBITDA only'!F24</f>
        <v>125000</v>
      </c>
      <c r="G24" s="159">
        <f>'ProForma income - EBITDA only'!G24</f>
        <v>300000</v>
      </c>
      <c r="H24" s="198" t="s">
        <v>215</v>
      </c>
      <c r="I24" s="79"/>
    </row>
    <row r="25" spans="1:9" ht="18" thickBot="1">
      <c r="A25" s="4"/>
      <c r="B25" s="11" t="s">
        <v>58</v>
      </c>
      <c r="C25" s="15">
        <f>SUM(C22:C24)</f>
        <v>0</v>
      </c>
      <c r="D25" s="182">
        <f>SUM(D22:D24)</f>
        <v>0</v>
      </c>
      <c r="E25" s="182">
        <f>SUM(E22:E24)</f>
        <v>540000</v>
      </c>
      <c r="F25" s="182">
        <f>SUM(F22:F24)</f>
        <v>1375000</v>
      </c>
      <c r="G25" s="182">
        <f>SUM(G22:G24)</f>
        <v>2800000</v>
      </c>
      <c r="H25" s="79"/>
      <c r="I25" s="79"/>
    </row>
    <row r="26" spans="1:9" ht="17.649999999999999">
      <c r="A26" s="4"/>
      <c r="B26" s="9" t="s">
        <v>57</v>
      </c>
      <c r="C26" s="144" t="s">
        <v>91</v>
      </c>
      <c r="D26" s="144" t="s">
        <v>91</v>
      </c>
      <c r="E26" s="144">
        <f>E25/E11</f>
        <v>54000</v>
      </c>
      <c r="F26" s="144">
        <f>F25/F11</f>
        <v>55000</v>
      </c>
      <c r="G26" s="145">
        <f>G25/G11</f>
        <v>56000</v>
      </c>
      <c r="H26" s="80"/>
      <c r="I26" s="80"/>
    </row>
    <row r="27" spans="1:9" ht="17.649999999999999">
      <c r="A27" s="4"/>
      <c r="B27" s="9" t="s">
        <v>56</v>
      </c>
      <c r="C27" s="159">
        <f>'ProForma income - EBITDA only'!C27</f>
        <v>0</v>
      </c>
      <c r="D27" s="159">
        <f>'ProForma income - EBITDA only'!D27</f>
        <v>0</v>
      </c>
      <c r="E27" s="159">
        <f>'ProForma income - EBITDA only'!E27</f>
        <v>0</v>
      </c>
      <c r="F27" s="159">
        <f>'ProForma income - EBITDA only'!F27</f>
        <v>0</v>
      </c>
      <c r="G27" s="159">
        <f>'ProForma income - EBITDA only'!G27</f>
        <v>0</v>
      </c>
      <c r="H27" s="79"/>
      <c r="I27" s="79"/>
    </row>
    <row r="28" spans="1:9" ht="17.649999999999999">
      <c r="A28" s="4"/>
      <c r="B28" s="127" t="s">
        <v>100</v>
      </c>
      <c r="C28" s="114">
        <f>C25+C27</f>
        <v>0</v>
      </c>
      <c r="D28" s="133">
        <f>D25+D27</f>
        <v>0</v>
      </c>
      <c r="E28" s="133">
        <f>E25+E27</f>
        <v>540000</v>
      </c>
      <c r="F28" s="133">
        <f>F25+F27</f>
        <v>1375000</v>
      </c>
      <c r="G28" s="113">
        <f>G25+G27</f>
        <v>2800000</v>
      </c>
      <c r="H28" s="79"/>
      <c r="I28" s="79"/>
    </row>
    <row r="29" spans="1:9" ht="6.95" customHeight="1">
      <c r="A29" s="4"/>
      <c r="H29" s="58"/>
      <c r="I29" s="58"/>
    </row>
    <row r="30" spans="1:9" ht="17.649999999999999">
      <c r="A30" s="4">
        <v>4</v>
      </c>
      <c r="B30" s="13" t="s">
        <v>101</v>
      </c>
      <c r="C30" s="13"/>
      <c r="D30" s="13"/>
      <c r="E30" s="13"/>
      <c r="F30" s="13"/>
      <c r="G30" s="13"/>
      <c r="H30" s="58"/>
      <c r="I30" s="58"/>
    </row>
    <row r="31" spans="1:9" ht="17.649999999999999">
      <c r="A31" s="4"/>
      <c r="B31" s="127" t="s">
        <v>55</v>
      </c>
      <c r="C31" s="114">
        <f>C19-C28</f>
        <v>500000</v>
      </c>
      <c r="D31" s="111">
        <f>D19-D28</f>
        <v>500000</v>
      </c>
      <c r="E31" s="111">
        <f>E19-E28</f>
        <v>1460000</v>
      </c>
      <c r="F31" s="112">
        <f>F19-F28</f>
        <v>4875000</v>
      </c>
      <c r="G31" s="113">
        <f>G19-G28</f>
        <v>12200000</v>
      </c>
      <c r="H31" s="81"/>
      <c r="I31" s="81"/>
    </row>
    <row r="32" spans="1:9" ht="21" customHeight="1">
      <c r="B32" s="9" t="s">
        <v>59</v>
      </c>
      <c r="C32" s="59">
        <f>C31/C19</f>
        <v>1</v>
      </c>
      <c r="D32" s="59">
        <f>D31/D19</f>
        <v>1</v>
      </c>
      <c r="E32" s="59">
        <f>E31/E19</f>
        <v>0.73</v>
      </c>
      <c r="F32" s="59">
        <f>F31/F19</f>
        <v>0.78</v>
      </c>
      <c r="G32" s="71">
        <f>G31/G19</f>
        <v>0.81333333333333335</v>
      </c>
      <c r="H32" s="82"/>
      <c r="I32" s="82"/>
    </row>
    <row r="33" spans="1:9" ht="6.95" customHeight="1">
      <c r="A33" s="4"/>
      <c r="H33" s="58"/>
      <c r="I33" s="58"/>
    </row>
    <row r="34" spans="1:9" ht="20.100000000000001" customHeight="1">
      <c r="A34" s="4">
        <v>5</v>
      </c>
      <c r="B34" s="13" t="s">
        <v>158</v>
      </c>
      <c r="C34" s="12"/>
      <c r="D34" s="12"/>
      <c r="E34" s="12"/>
      <c r="F34" s="12"/>
      <c r="G34" s="12"/>
      <c r="H34" s="58"/>
      <c r="I34" s="58"/>
    </row>
    <row r="35" spans="1:9" ht="20.100000000000001" customHeight="1">
      <c r="A35" s="4"/>
      <c r="B35" s="25" t="s">
        <v>193</v>
      </c>
      <c r="C35" s="144">
        <f>+(C17+C18)/1.1</f>
        <v>454545.45454545453</v>
      </c>
      <c r="D35" s="144">
        <f>+(D17+D18)/1.1</f>
        <v>454545.45454545453</v>
      </c>
      <c r="E35" s="144">
        <f>+(E17+E18)/1.1</f>
        <v>0</v>
      </c>
      <c r="F35" s="144">
        <f>+(F17+F18)/1.1</f>
        <v>0</v>
      </c>
      <c r="G35" s="145">
        <f>+(G17+G18)/1.1</f>
        <v>0</v>
      </c>
      <c r="H35" s="58"/>
      <c r="I35" s="58"/>
    </row>
    <row r="36" spans="1:9" ht="20.100000000000001" customHeight="1">
      <c r="A36" s="4"/>
      <c r="B36" s="24" t="s">
        <v>130</v>
      </c>
      <c r="C36" s="159">
        <f>'ProForma income - EBITDA only'!C36</f>
        <v>25000</v>
      </c>
      <c r="D36" s="159">
        <f>'ProForma income - EBITDA only'!D36</f>
        <v>100000</v>
      </c>
      <c r="E36" s="159">
        <f>'ProForma income - EBITDA only'!E36</f>
        <v>300000</v>
      </c>
      <c r="F36" s="159">
        <f>'ProForma income - EBITDA only'!F36</f>
        <v>937500</v>
      </c>
      <c r="G36" s="159">
        <f>'ProForma income - EBITDA only'!G36</f>
        <v>2250000</v>
      </c>
      <c r="H36" s="198" t="s">
        <v>212</v>
      </c>
      <c r="I36" s="83"/>
    </row>
    <row r="37" spans="1:9" ht="20.100000000000001" customHeight="1">
      <c r="A37" s="4"/>
      <c r="B37" s="24" t="s">
        <v>131</v>
      </c>
      <c r="C37" s="159">
        <f>'ProForma income - EBITDA only'!C37</f>
        <v>25000</v>
      </c>
      <c r="D37" s="159">
        <f>'ProForma income - EBITDA only'!D37</f>
        <v>50000</v>
      </c>
      <c r="E37" s="159">
        <f>'ProForma income - EBITDA only'!E37</f>
        <v>100000</v>
      </c>
      <c r="F37" s="159">
        <f>'ProForma income - EBITDA only'!F37</f>
        <v>312500</v>
      </c>
      <c r="G37" s="159">
        <f>'ProForma income - EBITDA only'!G37</f>
        <v>750000</v>
      </c>
      <c r="H37" s="198" t="s">
        <v>213</v>
      </c>
      <c r="I37" s="77"/>
    </row>
    <row r="38" spans="1:9" ht="17.649999999999999">
      <c r="A38" s="4"/>
      <c r="B38" s="9" t="s">
        <v>103</v>
      </c>
      <c r="C38" s="159">
        <f>'ProForma income - EBITDA only'!C38</f>
        <v>150000</v>
      </c>
      <c r="D38" s="159">
        <f>'ProForma income - EBITDA only'!D38</f>
        <v>250000</v>
      </c>
      <c r="E38" s="159">
        <f>'ProForma income - EBITDA only'!E38</f>
        <v>500000</v>
      </c>
      <c r="F38" s="159">
        <f>'ProForma income - EBITDA only'!F38</f>
        <v>1000000</v>
      </c>
      <c r="G38" s="159">
        <f>'ProForma income - EBITDA only'!G38</f>
        <v>1500000</v>
      </c>
      <c r="H38" s="198" t="s">
        <v>218</v>
      </c>
      <c r="I38" s="69"/>
    </row>
    <row r="39" spans="1:9" ht="17.649999999999999">
      <c r="A39" s="4"/>
      <c r="B39" s="9" t="s">
        <v>105</v>
      </c>
      <c r="C39" s="159">
        <f>'ProForma income - EBITDA only'!C39</f>
        <v>35000</v>
      </c>
      <c r="D39" s="159">
        <f>'ProForma income - EBITDA only'!D39</f>
        <v>50000</v>
      </c>
      <c r="E39" s="159">
        <f>'ProForma income - EBITDA only'!E39</f>
        <v>100000</v>
      </c>
      <c r="F39" s="159">
        <f>'ProForma income - EBITDA only'!F39</f>
        <v>200000</v>
      </c>
      <c r="G39" s="159">
        <f>'ProForma income - EBITDA only'!G39</f>
        <v>300000</v>
      </c>
      <c r="H39" s="198" t="s">
        <v>218</v>
      </c>
      <c r="I39" s="69"/>
    </row>
    <row r="40" spans="1:9" ht="18" thickBot="1">
      <c r="A40" s="4"/>
      <c r="B40" s="9" t="s">
        <v>106</v>
      </c>
      <c r="C40" s="159">
        <f>'ProForma income - EBITDA only'!C40</f>
        <v>15000</v>
      </c>
      <c r="D40" s="159">
        <f>'ProForma income - EBITDA only'!D40</f>
        <v>25000</v>
      </c>
      <c r="E40" s="159">
        <f>'ProForma income - EBITDA only'!E40</f>
        <v>50000</v>
      </c>
      <c r="F40" s="159">
        <f>'ProForma income - EBITDA only'!F40</f>
        <v>100000</v>
      </c>
      <c r="G40" s="159">
        <f>'ProForma income - EBITDA only'!G40</f>
        <v>150000</v>
      </c>
      <c r="H40" s="198" t="s">
        <v>219</v>
      </c>
      <c r="I40" s="69"/>
    </row>
    <row r="41" spans="1:9" ht="18" thickBot="1">
      <c r="A41" s="4"/>
      <c r="B41" s="11" t="s">
        <v>160</v>
      </c>
      <c r="C41" s="15">
        <f>SUM(C36:C40)</f>
        <v>250000</v>
      </c>
      <c r="D41" s="15">
        <f>SUM(D36:D40)</f>
        <v>475000</v>
      </c>
      <c r="E41" s="15">
        <f>SUM(E36:E40)</f>
        <v>1050000</v>
      </c>
      <c r="F41" s="15">
        <f>SUM(F36:F40)</f>
        <v>2550000</v>
      </c>
      <c r="G41" s="15">
        <f>SUM(G36:G40)</f>
        <v>4950000</v>
      </c>
      <c r="H41" s="69"/>
      <c r="I41" s="69"/>
    </row>
    <row r="42" spans="1:9" ht="17.649999999999999">
      <c r="A42" s="4"/>
      <c r="B42" s="9" t="s">
        <v>104</v>
      </c>
      <c r="C42" s="177">
        <f>'ProForma income - EBITDA only'!C42</f>
        <v>300000</v>
      </c>
      <c r="D42" s="177">
        <f>'ProForma income - EBITDA only'!D42</f>
        <v>750000</v>
      </c>
      <c r="E42" s="177">
        <f>'ProForma income - EBITDA only'!E42</f>
        <v>1250000</v>
      </c>
      <c r="F42" s="177">
        <f>'ProForma income - EBITDA only'!F42</f>
        <v>1500000</v>
      </c>
      <c r="G42" s="177">
        <f>'ProForma income - EBITDA only'!G42</f>
        <v>1500000</v>
      </c>
      <c r="H42" s="198" t="s">
        <v>214</v>
      </c>
      <c r="I42" s="69"/>
    </row>
    <row r="43" spans="1:9" ht="17.649999999999999">
      <c r="A43" s="4"/>
      <c r="B43" s="18" t="s">
        <v>159</v>
      </c>
      <c r="C43" s="114">
        <f>SUM(C35,C41:C42)</f>
        <v>1004545.4545454546</v>
      </c>
      <c r="D43" s="133">
        <f>SUM(D35,D41:D42)</f>
        <v>1679545.4545454546</v>
      </c>
      <c r="E43" s="133">
        <f>SUM(E35,E41:E42)</f>
        <v>2300000</v>
      </c>
      <c r="F43" s="133">
        <f>SUM(F35,F41:F42)</f>
        <v>4050000</v>
      </c>
      <c r="G43" s="113">
        <f>SUM(G35,G41:G42)</f>
        <v>6450000</v>
      </c>
      <c r="H43" s="69"/>
      <c r="I43" s="69"/>
    </row>
    <row r="44" spans="1:9" ht="6.95" customHeight="1">
      <c r="A44" s="4"/>
      <c r="B44" s="17"/>
      <c r="C44" s="17"/>
      <c r="D44" s="17"/>
      <c r="E44" s="17"/>
      <c r="F44" s="17"/>
      <c r="G44" s="70"/>
      <c r="H44" s="69"/>
      <c r="I44" s="69"/>
    </row>
    <row r="45" spans="1:9" ht="17.649999999999999">
      <c r="A45" s="4">
        <v>6</v>
      </c>
      <c r="B45" s="13" t="s">
        <v>180</v>
      </c>
      <c r="C45" s="114">
        <f>C31-C43</f>
        <v>-504545.45454545459</v>
      </c>
      <c r="D45" s="133">
        <f>D31-D43</f>
        <v>-1179545.4545454546</v>
      </c>
      <c r="E45" s="133">
        <f>E31-E43</f>
        <v>-840000</v>
      </c>
      <c r="F45" s="133">
        <f>F31-F43</f>
        <v>825000</v>
      </c>
      <c r="G45" s="113">
        <f>G31-G43</f>
        <v>5750000</v>
      </c>
      <c r="H45" s="69"/>
      <c r="I45" s="69"/>
    </row>
    <row r="46" spans="1:9" ht="17.649999999999999">
      <c r="A46" s="4"/>
      <c r="B46" s="20" t="s">
        <v>181</v>
      </c>
      <c r="C46" s="178">
        <f>C45/C19</f>
        <v>-1.0090909090909093</v>
      </c>
      <c r="D46" s="178">
        <f>D45/D19</f>
        <v>-2.3590909090909093</v>
      </c>
      <c r="E46" s="178">
        <f>E45/E19</f>
        <v>-0.42</v>
      </c>
      <c r="F46" s="178">
        <f>F45/F19</f>
        <v>0.13200000000000001</v>
      </c>
      <c r="G46" s="179">
        <f>G45/G19</f>
        <v>0.38333333333333336</v>
      </c>
      <c r="H46" s="142"/>
      <c r="I46" s="82"/>
    </row>
    <row r="47" spans="1:9" ht="6.95" customHeight="1">
      <c r="A47" s="4"/>
      <c r="H47" s="58"/>
      <c r="I47" s="58"/>
    </row>
    <row r="48" spans="1:9" ht="6.95" customHeight="1">
      <c r="A48" s="4"/>
      <c r="H48" s="58"/>
      <c r="I48" s="58"/>
    </row>
    <row r="49" spans="1:9" ht="17.649999999999999">
      <c r="A49" s="4">
        <v>7</v>
      </c>
      <c r="B49" s="138" t="s">
        <v>157</v>
      </c>
      <c r="C49" s="111">
        <f>C45</f>
        <v>-504545.45454545459</v>
      </c>
      <c r="D49" s="111">
        <f>D45</f>
        <v>-1179545.4545454546</v>
      </c>
      <c r="E49" s="111">
        <f>E45</f>
        <v>-840000</v>
      </c>
      <c r="F49" s="111">
        <f>F45</f>
        <v>825000</v>
      </c>
      <c r="G49" s="113">
        <f>G45</f>
        <v>5750000</v>
      </c>
      <c r="H49" s="77"/>
      <c r="I49" s="77"/>
    </row>
    <row r="50" spans="1:9" s="131" customFormat="1" ht="17.649999999999999">
      <c r="A50" s="129"/>
      <c r="B50" s="136" t="s">
        <v>6</v>
      </c>
      <c r="C50" s="181">
        <v>0.21</v>
      </c>
      <c r="D50" s="181">
        <v>0.21</v>
      </c>
      <c r="E50" s="181">
        <v>0.21</v>
      </c>
      <c r="F50" s="181">
        <v>0.21</v>
      </c>
      <c r="G50" s="181">
        <v>0.21</v>
      </c>
      <c r="H50" s="130"/>
      <c r="I50" s="130"/>
    </row>
    <row r="51" spans="1:9" s="131" customFormat="1" ht="17.649999999999999">
      <c r="A51" s="129"/>
      <c r="B51" s="136" t="s">
        <v>53</v>
      </c>
      <c r="C51" s="148">
        <f>IF(C49&gt;0,C50*C49,0)</f>
        <v>0</v>
      </c>
      <c r="D51" s="148">
        <f>IF(D49&gt;0,D50*D49,0)</f>
        <v>0</v>
      </c>
      <c r="E51" s="148">
        <f>IF(E49&gt;0,E50*E49,0)</f>
        <v>0</v>
      </c>
      <c r="F51" s="148">
        <f>IF(F49&gt;0,F50*F49,0)</f>
        <v>173250</v>
      </c>
      <c r="G51" s="148">
        <f>IF(G49&gt;0,G50*G49,0)</f>
        <v>1207500</v>
      </c>
      <c r="H51" s="198" t="s">
        <v>211</v>
      </c>
      <c r="I51" s="132"/>
    </row>
    <row r="52" spans="1:9" s="131" customFormat="1" ht="17.649999999999999">
      <c r="A52" s="129"/>
      <c r="B52" s="18" t="s">
        <v>54</v>
      </c>
      <c r="C52" s="139">
        <f>C49-C51</f>
        <v>-504545.45454545459</v>
      </c>
      <c r="D52" s="139">
        <f>D49-D51</f>
        <v>-1179545.4545454546</v>
      </c>
      <c r="E52" s="139">
        <f>E49-E51</f>
        <v>-840000</v>
      </c>
      <c r="F52" s="139">
        <f>F49-F51</f>
        <v>651750</v>
      </c>
      <c r="G52" s="140">
        <f>G49-G51</f>
        <v>4542500</v>
      </c>
      <c r="H52" s="132"/>
      <c r="I52" s="132"/>
    </row>
    <row r="53" spans="1:9" s="131" customFormat="1" ht="17.649999999999999">
      <c r="A53" s="129"/>
      <c r="B53" s="46" t="s">
        <v>62</v>
      </c>
      <c r="C53" s="155">
        <f>C52/C19</f>
        <v>-1.0090909090909093</v>
      </c>
      <c r="D53" s="155">
        <f>D52/D19</f>
        <v>-2.3590909090909093</v>
      </c>
      <c r="E53" s="155">
        <f>E52/E19</f>
        <v>-0.42</v>
      </c>
      <c r="F53" s="155">
        <f>F52/F19</f>
        <v>0.10428</v>
      </c>
      <c r="G53" s="156">
        <f>G52/G19</f>
        <v>0.30283333333333334</v>
      </c>
      <c r="H53" s="130"/>
      <c r="I53" s="130"/>
    </row>
    <row r="54" spans="1:9" ht="17.649999999999999">
      <c r="A54" s="4"/>
      <c r="B54" t="s">
        <v>178</v>
      </c>
    </row>
    <row r="55" spans="1:9" ht="17.649999999999999">
      <c r="A55" s="4">
        <v>8</v>
      </c>
      <c r="B55" s="13" t="s">
        <v>162</v>
      </c>
      <c r="C55" s="12"/>
      <c r="D55" s="12"/>
      <c r="E55" s="12"/>
      <c r="F55" s="12"/>
      <c r="G55" s="12"/>
    </row>
    <row r="56" spans="1:9">
      <c r="B56" s="9" t="s">
        <v>165</v>
      </c>
      <c r="C56" s="159">
        <v>0</v>
      </c>
      <c r="D56" s="159">
        <v>0</v>
      </c>
      <c r="E56" s="159">
        <v>0</v>
      </c>
      <c r="F56" s="159">
        <v>0</v>
      </c>
      <c r="G56" s="160">
        <v>0</v>
      </c>
      <c r="H56" s="134" t="s">
        <v>172</v>
      </c>
    </row>
    <row r="57" spans="1:9" ht="14.65">
      <c r="B57" s="13" t="s">
        <v>166</v>
      </c>
      <c r="C57" s="114">
        <f>C45+C56</f>
        <v>-504545.45454545459</v>
      </c>
      <c r="D57" s="133">
        <f>D45+D56</f>
        <v>-1179545.4545454546</v>
      </c>
      <c r="E57" s="133">
        <f>E45+E56</f>
        <v>-840000</v>
      </c>
      <c r="F57" s="133">
        <f>F45+F56</f>
        <v>825000</v>
      </c>
      <c r="G57" s="113">
        <f>G45+G56</f>
        <v>5750000</v>
      </c>
      <c r="H57" s="134" t="s">
        <v>167</v>
      </c>
      <c r="I57" s="26"/>
    </row>
    <row r="58" spans="1:9">
      <c r="B58" s="135" t="s">
        <v>170</v>
      </c>
      <c r="C58" s="159">
        <v>0</v>
      </c>
      <c r="D58" s="159">
        <v>500000</v>
      </c>
      <c r="E58" s="159">
        <f>'ProForma income - EBITDA only'!E50</f>
        <v>0</v>
      </c>
      <c r="F58" s="159">
        <f>'ProForma income - EBITDA only'!F50</f>
        <v>0</v>
      </c>
      <c r="G58" s="159">
        <f>'ProForma income - EBITDA only'!G50</f>
        <v>0</v>
      </c>
      <c r="H58" s="134" t="s">
        <v>179</v>
      </c>
    </row>
    <row r="59" spans="1:9">
      <c r="B59" s="135" t="s">
        <v>168</v>
      </c>
      <c r="C59" s="159">
        <f>'ProForma income - EBITDA only'!C51</f>
        <v>0</v>
      </c>
      <c r="D59" s="159">
        <f>'ProForma income - EBITDA only'!D51</f>
        <v>0</v>
      </c>
      <c r="E59" s="159">
        <f>'ProForma income - EBITDA only'!E51</f>
        <v>0</v>
      </c>
      <c r="F59" s="159">
        <f>'ProForma income - EBITDA only'!F51</f>
        <v>0</v>
      </c>
      <c r="G59" s="159">
        <f>'ProForma income - EBITDA only'!G51</f>
        <v>0</v>
      </c>
      <c r="H59" s="134" t="s">
        <v>175</v>
      </c>
      <c r="I59" s="26"/>
    </row>
    <row r="60" spans="1:9">
      <c r="B60" s="137" t="s">
        <v>169</v>
      </c>
      <c r="C60" s="159">
        <f>'ProForma income - EBITDA only'!C52</f>
        <v>0</v>
      </c>
      <c r="D60" s="159">
        <f>'ProForma income - EBITDA only'!D52</f>
        <v>0</v>
      </c>
      <c r="E60" s="159">
        <f>'ProForma income - EBITDA only'!E52</f>
        <v>0</v>
      </c>
      <c r="F60" s="159">
        <f>'ProForma income - EBITDA only'!F52</f>
        <v>0</v>
      </c>
      <c r="G60" s="159">
        <f>'ProForma income - EBITDA only'!G52</f>
        <v>0</v>
      </c>
      <c r="H60" s="134" t="s">
        <v>173</v>
      </c>
    </row>
    <row r="61" spans="1:9">
      <c r="B61" s="137" t="s">
        <v>171</v>
      </c>
      <c r="C61" s="159">
        <v>500000</v>
      </c>
      <c r="D61" s="159">
        <v>500000</v>
      </c>
      <c r="E61" s="159">
        <v>500000</v>
      </c>
      <c r="F61" s="159">
        <f>'ProForma income - EBITDA only'!F53</f>
        <v>0</v>
      </c>
      <c r="G61" s="159">
        <f>'ProForma income - EBITDA only'!G53</f>
        <v>0</v>
      </c>
      <c r="H61" s="134" t="s">
        <v>176</v>
      </c>
    </row>
    <row r="62" spans="1:9">
      <c r="B62" s="25" t="s">
        <v>163</v>
      </c>
      <c r="C62" s="180">
        <f>C57+C58-C59-C60+C61</f>
        <v>-4545.4545454545878</v>
      </c>
      <c r="D62" s="180">
        <f>D57+D58-D59-D60+D61</f>
        <v>-179545.45454545459</v>
      </c>
      <c r="E62" s="180">
        <f>E57+E58-E59-E60+E61</f>
        <v>-340000</v>
      </c>
      <c r="F62" s="180">
        <f>F57+F58-F59-F60+F61</f>
        <v>825000</v>
      </c>
      <c r="G62" s="180">
        <f>G57+G58-G59-G60+G61</f>
        <v>5750000</v>
      </c>
    </row>
    <row r="63" spans="1:9" ht="14.65">
      <c r="B63" s="13" t="s">
        <v>164</v>
      </c>
      <c r="C63" s="149">
        <f>C62</f>
        <v>-4545.4545454545878</v>
      </c>
      <c r="D63" s="150">
        <f>D62+C63</f>
        <v>-184090.90909090918</v>
      </c>
      <c r="E63" s="150">
        <f>E62+D63</f>
        <v>-524090.90909090918</v>
      </c>
      <c r="F63" s="150">
        <f>F62+E63</f>
        <v>300909.09090909082</v>
      </c>
      <c r="G63" s="151">
        <f>G62+F63</f>
        <v>6050909.0909090908</v>
      </c>
      <c r="H63" s="134" t="s">
        <v>174</v>
      </c>
    </row>
  </sheetData>
  <mergeCells count="3">
    <mergeCell ref="C3:F3"/>
    <mergeCell ref="C4:F4"/>
    <mergeCell ref="B1:G1"/>
  </mergeCells>
  <phoneticPr fontId="15" type="noConversion"/>
  <pageMargins left="0.75" right="0.75" top="1" bottom="1" header="0.5" footer="0.5"/>
  <pageSetup orientation="portrait" horizontalDpi="4294967292" verticalDpi="4294967292"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37" workbookViewId="0">
      <selection activeCell="C6" sqref="C6"/>
    </sheetView>
  </sheetViews>
  <sheetFormatPr defaultColWidth="8.64453125" defaultRowHeight="12.4"/>
  <cols>
    <col min="1" max="1" width="17.46875" customWidth="1"/>
    <col min="2" max="2" width="13.46875" customWidth="1"/>
    <col min="3" max="3" width="9.87890625" customWidth="1"/>
    <col min="4" max="4" width="15.64453125" bestFit="1" customWidth="1"/>
    <col min="5" max="5" width="14.87890625" bestFit="1" customWidth="1"/>
    <col min="6" max="6" width="15.46875" bestFit="1" customWidth="1"/>
    <col min="7" max="8" width="14.64453125" bestFit="1" customWidth="1"/>
    <col min="9" max="10" width="15.64453125" bestFit="1" customWidth="1"/>
    <col min="12" max="12" width="10.87890625" customWidth="1"/>
  </cols>
  <sheetData>
    <row r="1" spans="1:12" ht="24" customHeight="1">
      <c r="A1" s="29"/>
      <c r="B1" s="109" t="s">
        <v>81</v>
      </c>
      <c r="C1" s="109"/>
      <c r="D1" s="109"/>
      <c r="E1" s="109"/>
      <c r="F1" s="29"/>
      <c r="G1" s="29"/>
      <c r="H1" s="29" t="s">
        <v>107</v>
      </c>
    </row>
    <row r="2" spans="1:12">
      <c r="A2" s="146" t="s">
        <v>185</v>
      </c>
      <c r="B2" s="110"/>
      <c r="C2" s="110"/>
      <c r="D2" s="110"/>
      <c r="E2" s="110"/>
      <c r="F2" s="110"/>
      <c r="G2" s="110"/>
      <c r="H2" s="110"/>
    </row>
    <row r="3" spans="1:12">
      <c r="A3" s="110"/>
      <c r="B3" s="110"/>
      <c r="C3" s="110"/>
      <c r="D3" s="110"/>
      <c r="E3" s="110"/>
      <c r="F3" s="110"/>
      <c r="G3" s="110"/>
      <c r="H3" s="110"/>
    </row>
    <row r="4" spans="1:12" ht="15">
      <c r="A4" s="110"/>
      <c r="B4" s="110"/>
      <c r="C4" s="110"/>
      <c r="D4" s="29" t="s">
        <v>64</v>
      </c>
      <c r="E4" s="29"/>
      <c r="F4" s="29"/>
      <c r="G4" s="29"/>
      <c r="H4" s="29"/>
      <c r="I4" s="53"/>
      <c r="J4" s="53"/>
    </row>
    <row r="5" spans="1:12" ht="15">
      <c r="A5" s="29" t="s">
        <v>108</v>
      </c>
      <c r="B5" s="110"/>
      <c r="C5" s="110"/>
      <c r="D5" s="29" t="s">
        <v>69</v>
      </c>
      <c r="E5" s="29" t="s">
        <v>69</v>
      </c>
      <c r="F5" s="116" t="s">
        <v>18</v>
      </c>
      <c r="G5" s="117" t="s">
        <v>19</v>
      </c>
      <c r="H5" s="117" t="s">
        <v>20</v>
      </c>
      <c r="I5" s="91"/>
      <c r="J5" s="91"/>
    </row>
    <row r="6" spans="1:12" ht="15">
      <c r="A6" s="29" t="s">
        <v>82</v>
      </c>
      <c r="B6" s="29"/>
      <c r="C6" s="29"/>
      <c r="D6" s="29"/>
      <c r="E6" s="29"/>
      <c r="F6" s="29"/>
      <c r="G6" s="29"/>
      <c r="H6" s="29"/>
      <c r="I6" s="92"/>
      <c r="J6" s="92"/>
    </row>
    <row r="7" spans="1:12">
      <c r="A7" s="237" t="s">
        <v>128</v>
      </c>
      <c r="B7" s="238"/>
      <c r="C7" s="239"/>
      <c r="D7" s="62">
        <f>D44</f>
        <v>5000</v>
      </c>
      <c r="E7" s="62">
        <f>E44</f>
        <v>6000</v>
      </c>
      <c r="F7" s="62">
        <f>F44</f>
        <v>60000</v>
      </c>
      <c r="G7" s="62">
        <f>G44</f>
        <v>187500</v>
      </c>
      <c r="H7" s="88">
        <f>H44</f>
        <v>450000</v>
      </c>
      <c r="I7" s="83"/>
      <c r="J7" s="83"/>
    </row>
    <row r="8" spans="1:12">
      <c r="A8" s="237" t="s">
        <v>109</v>
      </c>
      <c r="B8" s="238"/>
      <c r="C8" s="239"/>
      <c r="D8" s="62">
        <v>0</v>
      </c>
      <c r="E8" s="60">
        <v>0</v>
      </c>
      <c r="F8" s="60">
        <f>F48</f>
        <v>230136.98630136985</v>
      </c>
      <c r="G8" s="63">
        <f>G48</f>
        <v>770547.94520547939</v>
      </c>
      <c r="H8" s="89">
        <f>H48</f>
        <v>1849315.0684931506</v>
      </c>
      <c r="I8" s="83"/>
      <c r="J8" s="83"/>
    </row>
    <row r="9" spans="1:12">
      <c r="A9" s="237" t="s">
        <v>110</v>
      </c>
      <c r="B9" s="238"/>
      <c r="C9" s="239"/>
      <c r="D9" s="62">
        <v>0</v>
      </c>
      <c r="E9" s="60">
        <v>0</v>
      </c>
      <c r="F9" s="60">
        <f>F51</f>
        <v>108000</v>
      </c>
      <c r="G9" s="63">
        <f>G51</f>
        <v>275000</v>
      </c>
      <c r="H9" s="89">
        <f>H51</f>
        <v>466666.66666666669</v>
      </c>
      <c r="I9" s="83"/>
      <c r="J9" s="83"/>
    </row>
    <row r="10" spans="1:12">
      <c r="A10" s="237" t="s">
        <v>111</v>
      </c>
      <c r="B10" s="238"/>
      <c r="C10" s="239"/>
      <c r="D10" s="62"/>
      <c r="E10" s="60"/>
      <c r="F10" s="60"/>
      <c r="G10" s="63"/>
      <c r="H10" s="89"/>
      <c r="I10" s="93"/>
      <c r="J10" s="93"/>
    </row>
    <row r="11" spans="1:12">
      <c r="A11" s="243" t="s">
        <v>112</v>
      </c>
      <c r="B11" s="244"/>
      <c r="C11" s="245"/>
      <c r="D11" s="114">
        <f>SUM(D7:D10)</f>
        <v>5000</v>
      </c>
      <c r="E11" s="111">
        <f>SUM(E7:E10)</f>
        <v>6000</v>
      </c>
      <c r="F11" s="111">
        <f>SUM(F7:F10)</f>
        <v>398136.98630136985</v>
      </c>
      <c r="G11" s="112">
        <f>SUM(G7:G10)</f>
        <v>1233047.9452054794</v>
      </c>
      <c r="H11" s="113">
        <f>SUM(H7:H10)</f>
        <v>2765981.7351598172</v>
      </c>
      <c r="I11" s="86"/>
      <c r="J11" s="86"/>
    </row>
    <row r="12" spans="1:12">
      <c r="A12" s="29"/>
      <c r="B12" s="29"/>
      <c r="C12" s="29"/>
      <c r="D12" s="29"/>
      <c r="E12" s="29"/>
      <c r="F12" s="29"/>
      <c r="G12" s="29"/>
      <c r="H12" s="29"/>
      <c r="I12" s="86"/>
      <c r="J12" s="86"/>
    </row>
    <row r="13" spans="1:12">
      <c r="A13" s="29" t="s">
        <v>113</v>
      </c>
      <c r="B13" s="29"/>
      <c r="C13" s="29"/>
      <c r="D13" s="29"/>
      <c r="E13" s="29"/>
      <c r="F13" s="29"/>
      <c r="G13" s="29"/>
      <c r="H13" s="29"/>
      <c r="I13" s="86"/>
      <c r="J13" s="86"/>
    </row>
    <row r="14" spans="1:12">
      <c r="A14" s="237" t="s">
        <v>2</v>
      </c>
      <c r="B14" s="238"/>
      <c r="C14" s="239"/>
      <c r="D14" s="62"/>
      <c r="E14" s="60"/>
      <c r="F14" s="60">
        <v>100000</v>
      </c>
      <c r="G14" s="63">
        <v>100000</v>
      </c>
      <c r="H14" s="89">
        <v>100000</v>
      </c>
      <c r="I14" s="86"/>
      <c r="J14" s="86"/>
    </row>
    <row r="15" spans="1:12">
      <c r="A15" s="237" t="s">
        <v>68</v>
      </c>
      <c r="B15" s="238"/>
      <c r="C15" s="239"/>
      <c r="D15" s="62"/>
      <c r="E15" s="60"/>
      <c r="F15" s="60">
        <v>200000</v>
      </c>
      <c r="G15" s="63">
        <v>200000</v>
      </c>
      <c r="H15" s="89">
        <v>200000</v>
      </c>
      <c r="I15" s="86"/>
      <c r="J15" s="86"/>
    </row>
    <row r="16" spans="1:12">
      <c r="A16" s="237" t="s">
        <v>114</v>
      </c>
      <c r="B16" s="238"/>
      <c r="C16" s="239"/>
      <c r="D16" s="62">
        <f>D55</f>
        <v>20000</v>
      </c>
      <c r="E16" s="60">
        <f>E55</f>
        <v>20000</v>
      </c>
      <c r="F16" s="60">
        <f>F55</f>
        <v>40000</v>
      </c>
      <c r="G16" s="63">
        <f>F16+G55</f>
        <v>167500</v>
      </c>
      <c r="H16" s="89">
        <f>G16+H55</f>
        <v>517500</v>
      </c>
      <c r="I16" s="94"/>
      <c r="J16" s="94"/>
      <c r="L16" s="48"/>
    </row>
    <row r="17" spans="1:12">
      <c r="A17" s="243" t="s">
        <v>115</v>
      </c>
      <c r="B17" s="244"/>
      <c r="C17" s="245"/>
      <c r="D17" s="62">
        <f>SUM(D14:D16)</f>
        <v>20000</v>
      </c>
      <c r="E17" s="62">
        <f>SUM(E14:E16)</f>
        <v>20000</v>
      </c>
      <c r="F17" s="60">
        <f>SUM(F14:F16)</f>
        <v>340000</v>
      </c>
      <c r="G17" s="63">
        <f>SUM(G14:G16)</f>
        <v>467500</v>
      </c>
      <c r="H17" s="89">
        <f>SUM(H14:H16)</f>
        <v>817500</v>
      </c>
      <c r="I17" s="83"/>
      <c r="J17" s="83"/>
      <c r="L17" s="48"/>
    </row>
    <row r="18" spans="1:12">
      <c r="A18" s="237" t="s">
        <v>21</v>
      </c>
      <c r="B18" s="238"/>
      <c r="C18" s="239"/>
      <c r="D18" s="60">
        <f>D64</f>
        <v>0</v>
      </c>
      <c r="E18" s="60">
        <f>E64</f>
        <v>4000</v>
      </c>
      <c r="F18" s="60">
        <f>F64</f>
        <v>22000</v>
      </c>
      <c r="G18" s="63">
        <f>G64</f>
        <v>65500</v>
      </c>
      <c r="H18" s="89">
        <f>H64</f>
        <v>179000</v>
      </c>
      <c r="I18" s="83"/>
      <c r="J18" s="83"/>
    </row>
    <row r="19" spans="1:12">
      <c r="A19" s="237" t="s">
        <v>116</v>
      </c>
      <c r="B19" s="238"/>
      <c r="C19" s="239"/>
      <c r="D19" s="62">
        <f>D17-D18</f>
        <v>20000</v>
      </c>
      <c r="E19" s="60">
        <f>E17-E18</f>
        <v>16000</v>
      </c>
      <c r="F19" s="60">
        <f>F17-F18</f>
        <v>318000</v>
      </c>
      <c r="G19" s="63">
        <f>G17-G18</f>
        <v>402000</v>
      </c>
      <c r="H19" s="89">
        <f>H17-H18</f>
        <v>638500</v>
      </c>
      <c r="I19" s="83"/>
      <c r="J19" s="83"/>
    </row>
    <row r="20" spans="1:12">
      <c r="A20" s="237" t="s">
        <v>117</v>
      </c>
      <c r="B20" s="238"/>
      <c r="C20" s="239"/>
      <c r="D20" s="62"/>
      <c r="E20" s="60"/>
      <c r="F20" s="60">
        <v>10000</v>
      </c>
      <c r="G20" s="63">
        <v>10000</v>
      </c>
      <c r="H20" s="89">
        <v>10000</v>
      </c>
      <c r="I20" s="86"/>
      <c r="J20" s="86"/>
      <c r="L20" s="48"/>
    </row>
    <row r="21" spans="1:12">
      <c r="A21" s="243" t="s">
        <v>65</v>
      </c>
      <c r="B21" s="244"/>
      <c r="C21" s="245"/>
      <c r="D21" s="114">
        <f>D19+D20</f>
        <v>20000</v>
      </c>
      <c r="E21" s="111">
        <f>E19+E20</f>
        <v>16000</v>
      </c>
      <c r="F21" s="111">
        <f>F19+F20</f>
        <v>328000</v>
      </c>
      <c r="G21" s="112">
        <f>G19+G20</f>
        <v>412000</v>
      </c>
      <c r="H21" s="113">
        <f>H19+H20</f>
        <v>648500</v>
      </c>
      <c r="I21" s="83"/>
      <c r="J21" s="83"/>
    </row>
    <row r="22" spans="1:12">
      <c r="A22" s="243" t="s">
        <v>118</v>
      </c>
      <c r="B22" s="244"/>
      <c r="C22" s="245"/>
      <c r="D22" s="114">
        <f>D21+D11</f>
        <v>25000</v>
      </c>
      <c r="E22" s="111">
        <f>E21+E11</f>
        <v>22000</v>
      </c>
      <c r="F22" s="111">
        <f>F21+F11</f>
        <v>726136.98630136985</v>
      </c>
      <c r="G22" s="112">
        <f>G21+G11</f>
        <v>1645047.9452054794</v>
      </c>
      <c r="H22" s="113">
        <f>H21+H11</f>
        <v>3414481.7351598172</v>
      </c>
      <c r="I22" s="86"/>
      <c r="J22" s="86"/>
    </row>
    <row r="23" spans="1:12">
      <c r="A23" s="29"/>
      <c r="B23" s="29"/>
      <c r="C23" s="29"/>
      <c r="D23" s="29"/>
      <c r="E23" s="29"/>
      <c r="F23" s="29"/>
      <c r="G23" s="29"/>
      <c r="H23" s="29"/>
      <c r="I23" s="86"/>
      <c r="J23" s="86"/>
      <c r="L23" s="48"/>
    </row>
    <row r="24" spans="1:12">
      <c r="A24" s="107" t="s">
        <v>66</v>
      </c>
      <c r="B24" s="29"/>
      <c r="C24" s="29"/>
      <c r="D24" s="29"/>
      <c r="E24" s="29"/>
      <c r="F24" s="29"/>
      <c r="G24" s="29"/>
      <c r="H24" s="29"/>
      <c r="I24" s="86"/>
      <c r="J24" s="86"/>
    </row>
    <row r="25" spans="1:12">
      <c r="A25" s="29" t="s">
        <v>119</v>
      </c>
      <c r="B25" s="29"/>
      <c r="C25" s="29"/>
      <c r="D25" s="29"/>
      <c r="E25" s="29"/>
      <c r="F25" s="29"/>
      <c r="G25" s="29"/>
      <c r="H25" s="29"/>
      <c r="I25" s="86"/>
      <c r="J25" s="86"/>
    </row>
    <row r="26" spans="1:12">
      <c r="A26" s="237" t="s">
        <v>120</v>
      </c>
      <c r="B26" s="238"/>
      <c r="C26" s="239"/>
      <c r="D26" s="57"/>
      <c r="E26" s="54"/>
      <c r="F26" s="60">
        <v>5000</v>
      </c>
      <c r="G26" s="63">
        <v>5000</v>
      </c>
      <c r="H26" s="89">
        <v>5000</v>
      </c>
      <c r="I26" s="68"/>
      <c r="J26" s="68"/>
    </row>
    <row r="27" spans="1:12">
      <c r="A27" s="237" t="s">
        <v>10</v>
      </c>
      <c r="B27" s="238"/>
      <c r="C27" s="239"/>
      <c r="D27" s="57">
        <f>D68</f>
        <v>0</v>
      </c>
      <c r="E27" s="54">
        <f>E68</f>
        <v>0</v>
      </c>
      <c r="F27" s="60">
        <f>F68</f>
        <v>35479.452054794521</v>
      </c>
      <c r="G27" s="63">
        <f>G68</f>
        <v>88698.630136986292</v>
      </c>
      <c r="H27" s="89">
        <f>H68</f>
        <v>177397.26027397258</v>
      </c>
      <c r="I27" s="83"/>
      <c r="J27" s="83"/>
    </row>
    <row r="28" spans="1:12">
      <c r="A28" s="237" t="s">
        <v>11</v>
      </c>
      <c r="B28" s="238"/>
      <c r="C28" s="239"/>
      <c r="D28" s="57">
        <v>0</v>
      </c>
      <c r="E28" s="54">
        <v>0</v>
      </c>
      <c r="F28" s="60">
        <v>0</v>
      </c>
      <c r="G28" s="63">
        <v>0</v>
      </c>
      <c r="H28" s="89">
        <v>0</v>
      </c>
      <c r="I28" s="83"/>
      <c r="J28" s="83"/>
    </row>
    <row r="29" spans="1:12">
      <c r="A29" s="243" t="s">
        <v>123</v>
      </c>
      <c r="B29" s="244"/>
      <c r="C29" s="245"/>
      <c r="D29" s="114">
        <f>SUM(D26:D28)</f>
        <v>0</v>
      </c>
      <c r="E29" s="111">
        <f>SUM(E26:E28)</f>
        <v>0</v>
      </c>
      <c r="F29" s="111">
        <f>SUM(F26:F28)</f>
        <v>40479.452054794521</v>
      </c>
      <c r="G29" s="112">
        <f>SUM(G26:G28)</f>
        <v>93698.630136986292</v>
      </c>
      <c r="H29" s="113">
        <f>SUM(H26:H28)</f>
        <v>182397.26027397258</v>
      </c>
      <c r="I29" s="83"/>
      <c r="J29" s="83"/>
    </row>
    <row r="30" spans="1:12">
      <c r="A30" s="107" t="s">
        <v>122</v>
      </c>
      <c r="B30" s="29"/>
      <c r="C30" s="29"/>
      <c r="D30" s="29"/>
      <c r="E30" s="29"/>
      <c r="F30" s="29"/>
      <c r="G30" s="29"/>
      <c r="H30" s="29"/>
      <c r="I30" s="93"/>
      <c r="J30" s="93"/>
    </row>
    <row r="31" spans="1:12">
      <c r="A31" s="237" t="s">
        <v>12</v>
      </c>
      <c r="B31" s="238"/>
      <c r="C31" s="239"/>
      <c r="D31" s="57"/>
      <c r="E31" s="54"/>
      <c r="F31" s="60">
        <v>20000</v>
      </c>
      <c r="G31" s="63">
        <v>20000</v>
      </c>
      <c r="H31" s="89">
        <v>20000</v>
      </c>
      <c r="I31" s="68"/>
      <c r="J31" s="68"/>
    </row>
    <row r="32" spans="1:12">
      <c r="A32" s="237" t="s">
        <v>13</v>
      </c>
      <c r="B32" s="238"/>
      <c r="C32" s="239"/>
      <c r="D32" s="57">
        <v>0</v>
      </c>
      <c r="E32" s="54">
        <v>0</v>
      </c>
      <c r="F32" s="60">
        <v>0</v>
      </c>
      <c r="G32" s="63">
        <v>0</v>
      </c>
      <c r="H32" s="89">
        <v>0</v>
      </c>
      <c r="I32" s="87"/>
      <c r="J32" s="87"/>
    </row>
    <row r="33" spans="1:15">
      <c r="A33" s="237" t="s">
        <v>14</v>
      </c>
      <c r="B33" s="238"/>
      <c r="C33" s="239"/>
      <c r="D33" s="57">
        <v>0</v>
      </c>
      <c r="E33" s="54">
        <v>0</v>
      </c>
      <c r="F33" s="60">
        <v>0</v>
      </c>
      <c r="G33" s="63">
        <v>0</v>
      </c>
      <c r="H33" s="89">
        <v>0</v>
      </c>
      <c r="I33" s="87"/>
      <c r="J33" s="87"/>
      <c r="L33" s="8"/>
      <c r="M33" s="8"/>
      <c r="N33" s="8"/>
      <c r="O33" s="8"/>
    </row>
    <row r="34" spans="1:15">
      <c r="A34" s="243" t="s">
        <v>67</v>
      </c>
      <c r="B34" s="244"/>
      <c r="C34" s="245"/>
      <c r="D34" s="114">
        <f>SUM(D31:D33)</f>
        <v>0</v>
      </c>
      <c r="E34" s="111">
        <f>SUM(E31:E33)</f>
        <v>0</v>
      </c>
      <c r="F34" s="111">
        <f>SUM(F31:F33)</f>
        <v>20000</v>
      </c>
      <c r="G34" s="112">
        <f>SUM(G31:G33)</f>
        <v>20000</v>
      </c>
      <c r="H34" s="113">
        <f>SUM(H31:H33)</f>
        <v>20000</v>
      </c>
      <c r="I34" s="83"/>
      <c r="J34" s="83"/>
      <c r="L34" s="8"/>
      <c r="M34" s="8"/>
      <c r="N34" s="8"/>
      <c r="O34" s="8"/>
    </row>
    <row r="35" spans="1:15">
      <c r="A35" s="243" t="s">
        <v>15</v>
      </c>
      <c r="B35" s="244"/>
      <c r="C35" s="245"/>
      <c r="D35" s="114">
        <f>D34+D29</f>
        <v>0</v>
      </c>
      <c r="E35" s="111">
        <f>E34+E29</f>
        <v>0</v>
      </c>
      <c r="F35" s="111">
        <f>F34+F29</f>
        <v>60479.452054794521</v>
      </c>
      <c r="G35" s="112">
        <f>G34+G29</f>
        <v>113698.63013698629</v>
      </c>
      <c r="H35" s="113">
        <f>H34+H29</f>
        <v>202397.26027397258</v>
      </c>
      <c r="I35" s="83"/>
      <c r="J35" s="83"/>
      <c r="L35" s="8"/>
      <c r="M35" s="8"/>
      <c r="N35" s="8"/>
      <c r="O35" s="8"/>
    </row>
    <row r="36" spans="1:15">
      <c r="A36" s="29" t="s">
        <v>83</v>
      </c>
      <c r="B36" s="29"/>
      <c r="C36" s="29"/>
      <c r="D36" s="29"/>
      <c r="E36" s="29"/>
      <c r="F36" s="29"/>
      <c r="G36" s="29"/>
      <c r="H36" s="29"/>
      <c r="I36" s="93"/>
      <c r="J36" s="93"/>
      <c r="L36" s="8"/>
      <c r="M36" s="8"/>
      <c r="N36" s="8"/>
      <c r="O36" s="8"/>
    </row>
    <row r="37" spans="1:15">
      <c r="A37" s="237" t="s">
        <v>3</v>
      </c>
      <c r="B37" s="238"/>
      <c r="C37" s="239"/>
      <c r="D37" s="57"/>
      <c r="E37" s="54"/>
      <c r="F37" s="60"/>
      <c r="G37" s="63"/>
      <c r="H37" s="89"/>
      <c r="I37" s="87"/>
      <c r="J37" s="87"/>
      <c r="L37" s="8"/>
      <c r="M37" s="8"/>
      <c r="N37" s="8"/>
      <c r="O37" s="8"/>
    </row>
    <row r="38" spans="1:15">
      <c r="A38" s="237" t="s">
        <v>16</v>
      </c>
      <c r="B38" s="238"/>
      <c r="C38" s="239"/>
      <c r="D38" s="62">
        <f>D40-D35-D37</f>
        <v>25000</v>
      </c>
      <c r="E38" s="60">
        <f>E40-E35-E37</f>
        <v>22000</v>
      </c>
      <c r="F38" s="60">
        <f>F40-F35-F37</f>
        <v>665657.53424657532</v>
      </c>
      <c r="G38" s="63">
        <f>G40-G35-G37</f>
        <v>1531349.3150684931</v>
      </c>
      <c r="H38" s="89">
        <f>H40-H35-H37</f>
        <v>3212084.4748858446</v>
      </c>
      <c r="I38" s="83"/>
      <c r="J38" s="83"/>
      <c r="L38" s="8"/>
      <c r="M38" s="8"/>
      <c r="N38" s="8"/>
      <c r="O38" s="8"/>
    </row>
    <row r="39" spans="1:15">
      <c r="A39" s="243" t="s">
        <v>124</v>
      </c>
      <c r="B39" s="244"/>
      <c r="C39" s="245"/>
      <c r="D39" s="114">
        <f>SUM(D37:D38)</f>
        <v>25000</v>
      </c>
      <c r="E39" s="111">
        <f>SUM(E37:E38)</f>
        <v>22000</v>
      </c>
      <c r="F39" s="111">
        <f>SUM(F37:F38)</f>
        <v>665657.53424657532</v>
      </c>
      <c r="G39" s="112">
        <f>SUM(G37:G38)</f>
        <v>1531349.3150684931</v>
      </c>
      <c r="H39" s="113">
        <f>SUM(H37:H38)</f>
        <v>3212084.4748858446</v>
      </c>
      <c r="I39" s="83"/>
      <c r="J39" s="83"/>
      <c r="L39" s="8"/>
      <c r="M39" s="8"/>
      <c r="N39" s="8"/>
      <c r="O39" s="8"/>
    </row>
    <row r="40" spans="1:15">
      <c r="A40" s="243" t="s">
        <v>17</v>
      </c>
      <c r="B40" s="244"/>
      <c r="C40" s="245"/>
      <c r="D40" s="114">
        <f>D22</f>
        <v>25000</v>
      </c>
      <c r="E40" s="111">
        <f>E22</f>
        <v>22000</v>
      </c>
      <c r="F40" s="111">
        <f>F22</f>
        <v>726136.98630136985</v>
      </c>
      <c r="G40" s="112">
        <f>G22</f>
        <v>1645047.9452054794</v>
      </c>
      <c r="H40" s="113">
        <f>H22</f>
        <v>3414481.7351598172</v>
      </c>
      <c r="I40" s="83"/>
      <c r="J40" s="83"/>
      <c r="L40" s="8"/>
      <c r="M40" s="8"/>
      <c r="N40" s="8"/>
      <c r="O40" s="8"/>
    </row>
    <row r="41" spans="1:15" ht="12.75" thickBot="1">
      <c r="A41" s="1"/>
      <c r="D41" s="49"/>
      <c r="E41" s="49"/>
      <c r="F41" s="49"/>
      <c r="G41" s="49"/>
      <c r="H41" s="49"/>
      <c r="I41" s="83"/>
      <c r="J41" s="83"/>
      <c r="L41" s="8"/>
      <c r="M41" s="8"/>
      <c r="N41" s="8"/>
      <c r="O41" s="8"/>
    </row>
    <row r="42" spans="1:15" ht="14.65">
      <c r="A42" s="29" t="s">
        <v>126</v>
      </c>
      <c r="B42" s="29"/>
      <c r="C42" s="29"/>
      <c r="D42" s="56" t="s">
        <v>63</v>
      </c>
      <c r="E42" s="29"/>
      <c r="F42" s="29"/>
      <c r="G42" s="29"/>
      <c r="H42" s="29"/>
      <c r="I42" s="93"/>
      <c r="J42" s="93"/>
      <c r="L42" s="8"/>
      <c r="M42" s="8"/>
      <c r="N42" s="8"/>
      <c r="O42" s="8"/>
    </row>
    <row r="43" spans="1:15">
      <c r="A43" s="237" t="s">
        <v>22</v>
      </c>
      <c r="B43" s="238"/>
      <c r="C43" s="239"/>
      <c r="D43" s="99">
        <v>0.01</v>
      </c>
      <c r="E43" s="100">
        <v>1.2E-2</v>
      </c>
      <c r="F43" s="100">
        <v>0.03</v>
      </c>
      <c r="G43" s="100">
        <v>0.03</v>
      </c>
      <c r="H43" s="100">
        <v>0.03</v>
      </c>
      <c r="I43" s="82"/>
      <c r="J43" s="82"/>
    </row>
    <row r="44" spans="1:15" ht="12.75" thickBot="1">
      <c r="A44" s="246" t="s">
        <v>44</v>
      </c>
      <c r="B44" s="247"/>
      <c r="C44" s="248"/>
      <c r="D44" s="62">
        <f>D43*'ProForma income - Full'!C19</f>
        <v>5000</v>
      </c>
      <c r="E44" s="61">
        <f>E43*'ProForma income - Full'!D19</f>
        <v>6000</v>
      </c>
      <c r="F44" s="61">
        <f>F43*'ProForma income - Full'!E19</f>
        <v>60000</v>
      </c>
      <c r="G44" s="61">
        <f>G43*'ProForma income - Full'!F19</f>
        <v>187500</v>
      </c>
      <c r="H44" s="61">
        <f>H43*'ProForma income - Full'!G19</f>
        <v>450000</v>
      </c>
      <c r="I44" s="101"/>
      <c r="J44" s="95"/>
    </row>
    <row r="45" spans="1:15" ht="14.65">
      <c r="A45" s="56"/>
      <c r="B45" s="56"/>
      <c r="C45" s="56"/>
      <c r="D45" s="56"/>
      <c r="E45" s="55"/>
      <c r="F45" s="50"/>
      <c r="G45" s="51"/>
      <c r="H45" s="51"/>
      <c r="I45" s="85"/>
      <c r="J45" s="85"/>
    </row>
    <row r="46" spans="1:15">
      <c r="A46" s="237" t="s">
        <v>45</v>
      </c>
      <c r="B46" s="238"/>
      <c r="C46" s="239"/>
      <c r="D46" s="62">
        <f>'ProForma income - Full'!C15/365</f>
        <v>0</v>
      </c>
      <c r="E46" s="60">
        <f>'ProForma income - Full'!D15/365</f>
        <v>0</v>
      </c>
      <c r="F46" s="60">
        <f>'ProForma income - Full'!E15/365</f>
        <v>5479.4520547945203</v>
      </c>
      <c r="G46" s="63">
        <f>'ProForma income - Full'!F15/365</f>
        <v>17123.287671232876</v>
      </c>
      <c r="H46" s="89">
        <f>'ProForma income - Full'!G15/365</f>
        <v>41095.890410958906</v>
      </c>
      <c r="I46" s="83"/>
      <c r="J46" s="83"/>
    </row>
    <row r="47" spans="1:15">
      <c r="A47" s="237" t="s">
        <v>7</v>
      </c>
      <c r="B47" s="238"/>
      <c r="C47" s="239"/>
      <c r="D47" s="102">
        <v>40</v>
      </c>
      <c r="E47" s="103">
        <v>46</v>
      </c>
      <c r="F47" s="103">
        <v>42</v>
      </c>
      <c r="G47" s="103">
        <v>45</v>
      </c>
      <c r="H47" s="103">
        <v>45</v>
      </c>
      <c r="I47" s="86"/>
      <c r="J47" s="86"/>
    </row>
    <row r="48" spans="1:15" ht="12.75" thickBot="1">
      <c r="A48" s="240" t="s">
        <v>1</v>
      </c>
      <c r="B48" s="241"/>
      <c r="C48" s="242"/>
      <c r="D48" s="62">
        <f>D47*D46</f>
        <v>0</v>
      </c>
      <c r="E48" s="60">
        <f>E47*E46</f>
        <v>0</v>
      </c>
      <c r="F48" s="60">
        <f>F47*F46</f>
        <v>230136.98630136985</v>
      </c>
      <c r="G48" s="63">
        <f>G47*G46</f>
        <v>770547.94520547939</v>
      </c>
      <c r="H48" s="89">
        <f>H47*H46</f>
        <v>1849315.0684931506</v>
      </c>
      <c r="I48" s="83"/>
      <c r="J48" s="83"/>
    </row>
    <row r="49" spans="1:10" ht="14.65">
      <c r="A49" s="56"/>
      <c r="B49" s="56"/>
      <c r="C49" s="56"/>
      <c r="D49" s="56"/>
      <c r="E49" s="55"/>
      <c r="F49" s="50"/>
      <c r="G49" s="51"/>
      <c r="H49" s="51"/>
      <c r="I49" s="68"/>
      <c r="J49" s="68"/>
    </row>
    <row r="50" spans="1:10">
      <c r="A50" s="237" t="s">
        <v>23</v>
      </c>
      <c r="B50" s="238"/>
      <c r="C50" s="239"/>
      <c r="D50" s="102">
        <v>10</v>
      </c>
      <c r="E50" s="104">
        <v>10</v>
      </c>
      <c r="F50" s="104">
        <v>5</v>
      </c>
      <c r="G50" s="104">
        <v>5</v>
      </c>
      <c r="H50" s="104">
        <v>6</v>
      </c>
      <c r="I50" s="58"/>
      <c r="J50" s="58"/>
    </row>
    <row r="51" spans="1:10" ht="12.75" thickBot="1">
      <c r="A51" s="240" t="s">
        <v>43</v>
      </c>
      <c r="B51" s="241"/>
      <c r="C51" s="242"/>
      <c r="D51" s="62">
        <f>('ProForma income - Full'!C28-'ProForma income - Full'!C35)/'Balance Sheet'!D50</f>
        <v>-45454.545454545456</v>
      </c>
      <c r="E51" s="62">
        <f>('ProForma income - Full'!D28-'ProForma income - Full'!D35)/'Balance Sheet'!E50</f>
        <v>-45454.545454545456</v>
      </c>
      <c r="F51" s="62">
        <f>('ProForma income - Full'!E28-'ProForma income - Full'!E35)/'Balance Sheet'!F50</f>
        <v>108000</v>
      </c>
      <c r="G51" s="62">
        <f>('ProForma income - Full'!F28-'ProForma income - Full'!F35)/'Balance Sheet'!G50</f>
        <v>275000</v>
      </c>
      <c r="H51" s="62">
        <f>('ProForma income - Full'!G28-'ProForma income - Full'!G35)/'Balance Sheet'!H50</f>
        <v>466666.66666666669</v>
      </c>
      <c r="I51" s="83"/>
      <c r="J51" s="83"/>
    </row>
    <row r="52" spans="1:10" ht="14.65">
      <c r="A52" s="56"/>
      <c r="B52" s="56"/>
      <c r="C52" s="56"/>
      <c r="D52" s="56"/>
      <c r="E52" s="55"/>
      <c r="F52" s="50"/>
      <c r="G52" s="51"/>
      <c r="H52" s="51"/>
      <c r="I52" s="58"/>
      <c r="J52" s="58"/>
    </row>
    <row r="53" spans="1:10">
      <c r="A53" s="237" t="s">
        <v>46</v>
      </c>
      <c r="B53" s="238"/>
      <c r="C53" s="239"/>
      <c r="D53" s="89"/>
      <c r="E53" s="89">
        <f>'ProForma income - Full'!D15-'ProForma income - Full'!C15</f>
        <v>0</v>
      </c>
      <c r="F53" s="89">
        <f>'ProForma income - Full'!E15-'ProForma income - Full'!D15</f>
        <v>2000000</v>
      </c>
      <c r="G53" s="89">
        <f>'ProForma income - Full'!F15-'ProForma income - Full'!E15</f>
        <v>4250000</v>
      </c>
      <c r="H53" s="89">
        <f>'ProForma income - Full'!G15-'ProForma income - Full'!F15</f>
        <v>8750000</v>
      </c>
      <c r="I53" s="83"/>
      <c r="J53" s="83"/>
    </row>
    <row r="54" spans="1:10">
      <c r="A54" s="231" t="s">
        <v>47</v>
      </c>
      <c r="B54" s="232"/>
      <c r="C54" s="233"/>
      <c r="D54" s="99">
        <v>0</v>
      </c>
      <c r="E54" s="100">
        <v>0</v>
      </c>
      <c r="F54" s="100">
        <v>0.02</v>
      </c>
      <c r="G54" s="100">
        <v>0.03</v>
      </c>
      <c r="H54" s="100">
        <v>0.04</v>
      </c>
      <c r="I54" s="82"/>
      <c r="J54" s="82"/>
    </row>
    <row r="55" spans="1:10">
      <c r="A55" s="231" t="s">
        <v>61</v>
      </c>
      <c r="B55" s="232"/>
      <c r="C55" s="233"/>
      <c r="D55" s="118">
        <v>20000</v>
      </c>
      <c r="E55" s="119">
        <v>20000</v>
      </c>
      <c r="F55" s="60">
        <f>F53*F54</f>
        <v>40000</v>
      </c>
      <c r="G55" s="63">
        <f>G53*G54</f>
        <v>127500</v>
      </c>
      <c r="H55" s="89">
        <f>H53*H54</f>
        <v>350000</v>
      </c>
      <c r="I55" s="68"/>
      <c r="J55" s="68"/>
    </row>
    <row r="56" spans="1:10">
      <c r="A56" s="123" t="s">
        <v>75</v>
      </c>
      <c r="B56" s="123" t="s">
        <v>121</v>
      </c>
      <c r="C56" s="123"/>
      <c r="D56" s="62"/>
      <c r="E56" s="60">
        <f>D55*0.2</f>
        <v>4000</v>
      </c>
      <c r="F56" s="60">
        <f>($D55+$E55)*0.2</f>
        <v>8000</v>
      </c>
      <c r="G56" s="60">
        <f>($D55+$E55)*0.2</f>
        <v>8000</v>
      </c>
      <c r="H56" s="60">
        <f>($D55+$E55)*0.2</f>
        <v>8000</v>
      </c>
      <c r="I56" s="68"/>
      <c r="J56" s="68"/>
    </row>
    <row r="57" spans="1:10">
      <c r="A57" s="124" t="s">
        <v>70</v>
      </c>
      <c r="B57" s="125" t="s">
        <v>48</v>
      </c>
      <c r="C57" s="126">
        <v>0.02</v>
      </c>
      <c r="D57" s="62">
        <f>$C57*D14</f>
        <v>0</v>
      </c>
      <c r="E57" s="60">
        <f>$C57*E14</f>
        <v>0</v>
      </c>
      <c r="F57" s="60">
        <f>$C57*F14</f>
        <v>2000</v>
      </c>
      <c r="G57" s="63">
        <f>$C57*G14</f>
        <v>2000</v>
      </c>
      <c r="H57" s="89">
        <f>$C57*H14</f>
        <v>2000</v>
      </c>
      <c r="I57" s="68"/>
      <c r="J57" s="68"/>
    </row>
    <row r="58" spans="1:10">
      <c r="A58" s="124" t="s">
        <v>114</v>
      </c>
      <c r="B58" s="125" t="s">
        <v>76</v>
      </c>
      <c r="C58" s="126">
        <v>0.2</v>
      </c>
      <c r="D58" s="62"/>
      <c r="E58" s="60"/>
      <c r="F58" s="60">
        <f>$C58*$F$55</f>
        <v>8000</v>
      </c>
      <c r="G58" s="63">
        <f>$C58*$F$55</f>
        <v>8000</v>
      </c>
      <c r="H58" s="89">
        <f>$C58*$F$55</f>
        <v>8000</v>
      </c>
      <c r="I58" s="96"/>
      <c r="J58" s="96"/>
    </row>
    <row r="59" spans="1:10">
      <c r="A59" s="124"/>
      <c r="B59" s="125" t="s">
        <v>77</v>
      </c>
      <c r="C59" s="126">
        <v>0.2</v>
      </c>
      <c r="D59" s="62"/>
      <c r="E59" s="60"/>
      <c r="F59" s="60"/>
      <c r="G59" s="63">
        <f>$C59*$G55</f>
        <v>25500</v>
      </c>
      <c r="H59" s="89">
        <f>$C59*$G55</f>
        <v>25500</v>
      </c>
      <c r="I59" s="96"/>
      <c r="J59" s="96"/>
    </row>
    <row r="60" spans="1:10">
      <c r="A60" s="124"/>
      <c r="B60" s="125" t="s">
        <v>78</v>
      </c>
      <c r="C60" s="126">
        <v>0.2</v>
      </c>
      <c r="D60" s="62"/>
      <c r="E60" s="60"/>
      <c r="F60" s="60"/>
      <c r="G60" s="63"/>
      <c r="H60" s="89">
        <f>$C60*$H55</f>
        <v>70000</v>
      </c>
      <c r="I60" s="97"/>
      <c r="J60" s="97"/>
    </row>
    <row r="61" spans="1:10">
      <c r="A61" s="124"/>
      <c r="B61" s="125" t="s">
        <v>79</v>
      </c>
      <c r="C61" s="126">
        <v>0.2</v>
      </c>
      <c r="D61" s="62"/>
      <c r="E61" s="60"/>
      <c r="F61" s="60"/>
      <c r="G61" s="63"/>
      <c r="H61" s="89"/>
      <c r="I61" s="96"/>
      <c r="J61" s="96"/>
    </row>
    <row r="62" spans="1:10">
      <c r="A62" s="124"/>
      <c r="B62" s="125" t="s">
        <v>80</v>
      </c>
      <c r="C62" s="126">
        <v>0.2</v>
      </c>
      <c r="D62" s="62"/>
      <c r="E62" s="60"/>
      <c r="F62" s="60"/>
      <c r="G62" s="63"/>
      <c r="H62" s="89"/>
      <c r="I62" s="98"/>
      <c r="J62" s="96"/>
    </row>
    <row r="63" spans="1:10">
      <c r="A63" s="124"/>
      <c r="B63" s="125" t="s">
        <v>49</v>
      </c>
      <c r="C63" s="125"/>
      <c r="D63" s="115">
        <f>SUM(D56:D62)</f>
        <v>0</v>
      </c>
      <c r="E63" s="115">
        <f>SUM(E56:E62)</f>
        <v>4000</v>
      </c>
      <c r="F63" s="115">
        <f>SUM(F56:F62)</f>
        <v>18000</v>
      </c>
      <c r="G63" s="115">
        <f>SUM(G56:G62)</f>
        <v>43500</v>
      </c>
      <c r="H63" s="115">
        <f>SUM(H56:H62)</f>
        <v>113500</v>
      </c>
      <c r="I63" s="83"/>
      <c r="J63" s="83"/>
    </row>
    <row r="64" spans="1:10" ht="12.75" thickBot="1">
      <c r="A64" s="124"/>
      <c r="B64" s="125" t="s">
        <v>50</v>
      </c>
      <c r="C64" s="125"/>
      <c r="D64" s="63">
        <f>D63+C64</f>
        <v>0</v>
      </c>
      <c r="E64" s="63">
        <f>E63+D64</f>
        <v>4000</v>
      </c>
      <c r="F64" s="63">
        <f>F63+E64</f>
        <v>22000</v>
      </c>
      <c r="G64" s="63">
        <f>G63+F64</f>
        <v>65500</v>
      </c>
      <c r="H64" s="89">
        <f>H63+G64</f>
        <v>179000</v>
      </c>
      <c r="I64" s="83"/>
      <c r="J64" s="83"/>
    </row>
    <row r="65" spans="1:10" ht="14.65">
      <c r="A65" s="56"/>
      <c r="B65" s="56"/>
      <c r="C65" s="56"/>
      <c r="D65" s="56"/>
      <c r="E65" s="55"/>
      <c r="F65" s="50"/>
      <c r="G65" s="51"/>
      <c r="H65" s="51"/>
      <c r="I65" s="82"/>
      <c r="J65" s="82"/>
    </row>
    <row r="66" spans="1:10">
      <c r="A66" s="231" t="s">
        <v>51</v>
      </c>
      <c r="B66" s="232"/>
      <c r="C66" s="233"/>
      <c r="D66" s="57">
        <f>'ProForma income - Full'!C22/365</f>
        <v>0</v>
      </c>
      <c r="E66" s="54">
        <f>'ProForma income - Full'!D22/365</f>
        <v>0</v>
      </c>
      <c r="F66" s="60">
        <f>'ProForma income - Full'!E22/365</f>
        <v>958.90410958904113</v>
      </c>
      <c r="G66" s="63">
        <f>'ProForma income - Full'!F22/365</f>
        <v>2397.2602739726026</v>
      </c>
      <c r="H66" s="89">
        <f>'ProForma income - Full'!G22/365</f>
        <v>4794.5205479452052</v>
      </c>
      <c r="I66" s="83"/>
      <c r="J66" s="83"/>
    </row>
    <row r="67" spans="1:10">
      <c r="A67" s="231" t="s">
        <v>8</v>
      </c>
      <c r="B67" s="232"/>
      <c r="C67" s="233"/>
      <c r="D67" s="105"/>
      <c r="E67" s="106"/>
      <c r="F67" s="106">
        <v>37</v>
      </c>
      <c r="G67" s="106">
        <v>37</v>
      </c>
      <c r="H67" s="106">
        <v>37</v>
      </c>
      <c r="I67" s="87"/>
      <c r="J67" s="87"/>
    </row>
    <row r="68" spans="1:10" ht="12.75" thickBot="1">
      <c r="A68" s="234" t="s">
        <v>52</v>
      </c>
      <c r="B68" s="235"/>
      <c r="C68" s="236"/>
      <c r="D68" s="64">
        <f>D67*D66</f>
        <v>0</v>
      </c>
      <c r="E68" s="65">
        <f>E67*E66</f>
        <v>0</v>
      </c>
      <c r="F68" s="65">
        <f>F67*F66</f>
        <v>35479.452054794521</v>
      </c>
      <c r="G68" s="66">
        <f>G67*G66</f>
        <v>88698.630136986292</v>
      </c>
      <c r="H68" s="90">
        <f>H67*H66</f>
        <v>177397.26027397258</v>
      </c>
      <c r="I68" s="83"/>
      <c r="J68" s="83"/>
    </row>
    <row r="70" spans="1:10">
      <c r="B70" s="8"/>
      <c r="C70" s="8"/>
      <c r="D70" s="8"/>
      <c r="E70" s="8"/>
      <c r="F70" s="8"/>
    </row>
    <row r="71" spans="1:10">
      <c r="B71" s="8"/>
      <c r="C71" s="8"/>
      <c r="D71" s="8"/>
      <c r="E71" s="8"/>
      <c r="F71" s="28"/>
    </row>
    <row r="72" spans="1:10">
      <c r="B72" s="8"/>
      <c r="C72" s="8"/>
      <c r="D72" s="8"/>
      <c r="E72" s="8"/>
      <c r="F72" s="28"/>
    </row>
    <row r="73" spans="1:10">
      <c r="B73" s="8"/>
      <c r="C73" s="8"/>
      <c r="D73" s="8"/>
      <c r="E73" s="8"/>
      <c r="F73" s="28"/>
    </row>
    <row r="74" spans="1:10">
      <c r="B74" s="8"/>
      <c r="C74" s="8"/>
      <c r="D74" s="8"/>
      <c r="E74" s="8"/>
      <c r="F74" s="28"/>
    </row>
    <row r="75" spans="1:10">
      <c r="B75" s="8"/>
      <c r="C75" s="8"/>
      <c r="D75" s="8"/>
      <c r="E75" s="8"/>
      <c r="F75" s="28"/>
    </row>
    <row r="76" spans="1:10">
      <c r="B76" s="8"/>
      <c r="C76" s="8"/>
      <c r="D76" s="8"/>
      <c r="E76" s="8"/>
      <c r="F76" s="28"/>
    </row>
    <row r="77" spans="1:10">
      <c r="B77" s="8"/>
      <c r="C77" s="8"/>
      <c r="D77" s="8"/>
      <c r="E77" s="8"/>
      <c r="F77" s="28"/>
    </row>
    <row r="78" spans="1:10">
      <c r="B78" s="8"/>
      <c r="C78" s="8"/>
      <c r="D78" s="8"/>
      <c r="E78" s="8"/>
      <c r="F78" s="8"/>
    </row>
  </sheetData>
  <mergeCells count="40">
    <mergeCell ref="A7:C7"/>
    <mergeCell ref="A8:C8"/>
    <mergeCell ref="A9:C9"/>
    <mergeCell ref="A10:C10"/>
    <mergeCell ref="A14:C14"/>
    <mergeCell ref="A16:C16"/>
    <mergeCell ref="A18:C18"/>
    <mergeCell ref="A19:C19"/>
    <mergeCell ref="A20:C20"/>
    <mergeCell ref="A11:C11"/>
    <mergeCell ref="A17:C17"/>
    <mergeCell ref="A15:C15"/>
    <mergeCell ref="A29:C29"/>
    <mergeCell ref="A31:C31"/>
    <mergeCell ref="A32:C32"/>
    <mergeCell ref="A33:C33"/>
    <mergeCell ref="A21:C21"/>
    <mergeCell ref="A22:C22"/>
    <mergeCell ref="A26:C26"/>
    <mergeCell ref="A27:C27"/>
    <mergeCell ref="A28:C28"/>
    <mergeCell ref="A48:C48"/>
    <mergeCell ref="A34:C34"/>
    <mergeCell ref="A35:C35"/>
    <mergeCell ref="A37:C37"/>
    <mergeCell ref="A38:C38"/>
    <mergeCell ref="A39:C39"/>
    <mergeCell ref="A40:C40"/>
    <mergeCell ref="A43:C43"/>
    <mergeCell ref="A44:C44"/>
    <mergeCell ref="A46:C46"/>
    <mergeCell ref="A47:C47"/>
    <mergeCell ref="A66:C66"/>
    <mergeCell ref="A67:C67"/>
    <mergeCell ref="A68:C68"/>
    <mergeCell ref="A50:C50"/>
    <mergeCell ref="A51:C51"/>
    <mergeCell ref="A53:C53"/>
    <mergeCell ref="A54:C54"/>
    <mergeCell ref="A55:C55"/>
  </mergeCells>
  <phoneticPr fontId="15"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B21" sqref="B21"/>
    </sheetView>
  </sheetViews>
  <sheetFormatPr defaultColWidth="8.64453125" defaultRowHeight="12.4"/>
  <cols>
    <col min="1" max="1" width="30.46875" customWidth="1"/>
    <col min="2" max="3" width="12.3515625" bestFit="1" customWidth="1"/>
    <col min="4" max="5" width="12.64453125" bestFit="1" customWidth="1"/>
    <col min="6" max="6" width="16.64453125" customWidth="1"/>
    <col min="7" max="8" width="9.87890625" bestFit="1" customWidth="1"/>
  </cols>
  <sheetData>
    <row r="1" spans="1:8" ht="17.649999999999999">
      <c r="A1" s="107" t="s">
        <v>127</v>
      </c>
      <c r="B1" s="109"/>
      <c r="C1" s="109"/>
      <c r="D1" s="109"/>
      <c r="E1" s="109"/>
      <c r="F1" s="29"/>
      <c r="G1" s="91"/>
      <c r="H1" s="91"/>
    </row>
    <row r="2" spans="1:8" ht="15">
      <c r="A2" s="110"/>
      <c r="B2" s="110"/>
      <c r="C2" s="110"/>
      <c r="D2" s="110"/>
      <c r="E2" s="110"/>
      <c r="F2" s="110"/>
      <c r="G2" s="91"/>
      <c r="H2" s="91"/>
    </row>
    <row r="3" spans="1:8" ht="15">
      <c r="A3" s="110"/>
      <c r="B3" s="108" t="s">
        <v>72</v>
      </c>
      <c r="C3" s="108" t="s">
        <v>71</v>
      </c>
      <c r="D3" s="120" t="s">
        <v>18</v>
      </c>
      <c r="E3" s="120" t="s">
        <v>19</v>
      </c>
      <c r="F3" s="120" t="s">
        <v>20</v>
      </c>
      <c r="G3" s="91"/>
      <c r="H3" s="91"/>
    </row>
    <row r="4" spans="1:8" ht="17.649999999999999">
      <c r="A4" s="29" t="s">
        <v>9</v>
      </c>
      <c r="B4" s="109"/>
      <c r="C4" s="109"/>
      <c r="D4" s="109"/>
      <c r="E4" s="109"/>
      <c r="F4" s="109"/>
      <c r="G4" s="58"/>
      <c r="H4" s="58"/>
    </row>
    <row r="5" spans="1:8">
      <c r="A5" s="122" t="s">
        <v>54</v>
      </c>
      <c r="B5" s="62">
        <f>'ProForma income - Full'!C52</f>
        <v>-504545.45454545459</v>
      </c>
      <c r="C5" s="62">
        <f>'ProForma income - Full'!D52</f>
        <v>-1179545.4545454546</v>
      </c>
      <c r="D5" s="62">
        <f>'ProForma income - Full'!E52</f>
        <v>-840000</v>
      </c>
      <c r="E5" s="62">
        <f>'ProForma income - Full'!F52</f>
        <v>651750</v>
      </c>
      <c r="F5" s="88">
        <f>'ProForma income - Full'!G52</f>
        <v>4542500</v>
      </c>
      <c r="G5" s="86"/>
      <c r="H5" s="86"/>
    </row>
    <row r="6" spans="1:8">
      <c r="A6" s="122" t="s">
        <v>24</v>
      </c>
      <c r="B6" s="62">
        <f>'Balance Sheet'!D63</f>
        <v>0</v>
      </c>
      <c r="C6" s="62">
        <f>'Balance Sheet'!E63</f>
        <v>4000</v>
      </c>
      <c r="D6" s="62">
        <f>'Balance Sheet'!F63</f>
        <v>18000</v>
      </c>
      <c r="E6" s="62">
        <f>'Balance Sheet'!G63</f>
        <v>43500</v>
      </c>
      <c r="F6" s="88">
        <f>'Balance Sheet'!H63</f>
        <v>113500</v>
      </c>
      <c r="G6" s="86"/>
      <c r="H6" s="86"/>
    </row>
    <row r="7" spans="1:8">
      <c r="A7" s="128" t="s">
        <v>25</v>
      </c>
      <c r="B7" s="114">
        <f>B6+B5</f>
        <v>-504545.45454545459</v>
      </c>
      <c r="C7" s="111">
        <f>C6+C5</f>
        <v>-1175545.4545454546</v>
      </c>
      <c r="D7" s="111">
        <f>D6+D5</f>
        <v>-822000</v>
      </c>
      <c r="E7" s="112">
        <f>E6+E5</f>
        <v>695250</v>
      </c>
      <c r="F7" s="113">
        <f>F6+F5</f>
        <v>4656000</v>
      </c>
      <c r="G7" s="86"/>
      <c r="H7" s="86"/>
    </row>
    <row r="8" spans="1:8">
      <c r="A8" s="29" t="s">
        <v>26</v>
      </c>
      <c r="B8" s="29"/>
      <c r="C8" s="29"/>
      <c r="D8" s="29"/>
      <c r="E8" s="29"/>
      <c r="F8" s="29"/>
      <c r="G8" s="86"/>
      <c r="H8" s="86"/>
    </row>
    <row r="9" spans="1:8">
      <c r="A9" s="29" t="s">
        <v>27</v>
      </c>
      <c r="B9" s="29"/>
      <c r="C9" s="29"/>
      <c r="D9" s="29"/>
      <c r="E9" s="29"/>
      <c r="F9" s="29"/>
      <c r="G9" s="86"/>
      <c r="H9" s="86"/>
    </row>
    <row r="10" spans="1:8">
      <c r="A10" s="123" t="s">
        <v>28</v>
      </c>
      <c r="B10" s="62"/>
      <c r="C10" s="62">
        <f>'Balance Sheet'!D8-'Balance Sheet'!E8</f>
        <v>0</v>
      </c>
      <c r="D10" s="62">
        <f>'Balance Sheet'!E8-'Balance Sheet'!F8</f>
        <v>-230136.98630136985</v>
      </c>
      <c r="E10" s="62">
        <f>'Balance Sheet'!F8-'Balance Sheet'!G8</f>
        <v>-540410.95890410955</v>
      </c>
      <c r="F10" s="88">
        <f>'Balance Sheet'!G8-'Balance Sheet'!H8</f>
        <v>-1078767.1232876712</v>
      </c>
      <c r="G10" s="86"/>
      <c r="H10" s="86"/>
    </row>
    <row r="11" spans="1:8">
      <c r="A11" s="123" t="s">
        <v>29</v>
      </c>
      <c r="B11" s="62"/>
      <c r="C11" s="62">
        <f>'Balance Sheet'!D9-'Balance Sheet'!E9</f>
        <v>0</v>
      </c>
      <c r="D11" s="62">
        <f>'Balance Sheet'!E9-'Balance Sheet'!F9</f>
        <v>-108000</v>
      </c>
      <c r="E11" s="62">
        <f>'Balance Sheet'!F9-'Balance Sheet'!G9</f>
        <v>-167000</v>
      </c>
      <c r="F11" s="88">
        <f>'Balance Sheet'!G9-'Balance Sheet'!H9</f>
        <v>-191666.66666666669</v>
      </c>
      <c r="G11" s="86"/>
      <c r="H11" s="86"/>
    </row>
    <row r="12" spans="1:8">
      <c r="A12" s="123" t="s">
        <v>30</v>
      </c>
      <c r="B12" s="62"/>
      <c r="C12" s="62">
        <f>'Balance Sheet'!D10-'Balance Sheet'!E10</f>
        <v>0</v>
      </c>
      <c r="D12" s="62">
        <f>'Balance Sheet'!E10-'Balance Sheet'!F10</f>
        <v>0</v>
      </c>
      <c r="E12" s="62">
        <f>'Balance Sheet'!F10-'Balance Sheet'!G10</f>
        <v>0</v>
      </c>
      <c r="F12" s="88">
        <f>'Balance Sheet'!G10-'Balance Sheet'!H10</f>
        <v>0</v>
      </c>
      <c r="G12" s="86"/>
      <c r="H12" s="86"/>
    </row>
    <row r="13" spans="1:8">
      <c r="A13" s="123" t="s">
        <v>31</v>
      </c>
      <c r="B13" s="62"/>
      <c r="C13" s="62">
        <f>'Balance Sheet'!E27-'Balance Sheet'!D27</f>
        <v>0</v>
      </c>
      <c r="D13" s="62">
        <f>'Balance Sheet'!F27-'Balance Sheet'!E27</f>
        <v>35479.452054794521</v>
      </c>
      <c r="E13" s="62">
        <f>'Balance Sheet'!G27-'Balance Sheet'!F27</f>
        <v>53219.178082191771</v>
      </c>
      <c r="F13" s="88">
        <f>'Balance Sheet'!H27-'Balance Sheet'!G27</f>
        <v>88698.630136986292</v>
      </c>
      <c r="G13" s="86"/>
      <c r="H13" s="86"/>
    </row>
    <row r="14" spans="1:8">
      <c r="A14" s="123" t="s">
        <v>32</v>
      </c>
      <c r="B14" s="62"/>
      <c r="C14" s="62">
        <f>'Balance Sheet'!E28-'Balance Sheet'!D28</f>
        <v>0</v>
      </c>
      <c r="D14" s="62">
        <f>'Balance Sheet'!F28-'Balance Sheet'!E28</f>
        <v>0</v>
      </c>
      <c r="E14" s="62">
        <f>'Balance Sheet'!G28-'Balance Sheet'!F28</f>
        <v>0</v>
      </c>
      <c r="F14" s="88">
        <f>'Balance Sheet'!H28-'Balance Sheet'!G28</f>
        <v>0</v>
      </c>
      <c r="G14" s="86"/>
      <c r="H14" s="86"/>
    </row>
    <row r="15" spans="1:8">
      <c r="A15" s="128" t="s">
        <v>33</v>
      </c>
      <c r="B15" s="114"/>
      <c r="C15" s="111">
        <f>SUM(C10:C14)</f>
        <v>0</v>
      </c>
      <c r="D15" s="111">
        <f>SUM(D10:D14)</f>
        <v>-302657.53424657532</v>
      </c>
      <c r="E15" s="112">
        <f>SUM(E10:E14)</f>
        <v>-654191.78082191781</v>
      </c>
      <c r="F15" s="113">
        <f>SUM(F10:F14)</f>
        <v>-1181735.1598173517</v>
      </c>
      <c r="G15" s="86"/>
      <c r="H15" s="86"/>
    </row>
    <row r="16" spans="1:8" ht="17.649999999999999">
      <c r="A16" s="29"/>
      <c r="B16" s="109"/>
      <c r="C16" s="109"/>
      <c r="D16" s="109"/>
      <c r="E16" s="109"/>
      <c r="F16" s="109"/>
      <c r="G16" s="86"/>
      <c r="H16" s="86"/>
    </row>
    <row r="17" spans="1:8">
      <c r="A17" s="128" t="s">
        <v>34</v>
      </c>
      <c r="B17" s="114">
        <f>B7+B15</f>
        <v>-504545.45454545459</v>
      </c>
      <c r="C17" s="111">
        <f>C7+C15</f>
        <v>-1175545.4545454546</v>
      </c>
      <c r="D17" s="111">
        <f>D7+D15</f>
        <v>-1124657.5342465753</v>
      </c>
      <c r="E17" s="112">
        <f>E7+E15</f>
        <v>41058.219178082189</v>
      </c>
      <c r="F17" s="113">
        <f>F7+F15</f>
        <v>3474264.840182648</v>
      </c>
      <c r="G17" s="86"/>
      <c r="H17" s="86"/>
    </row>
    <row r="18" spans="1:8" ht="17.649999999999999">
      <c r="A18" s="29"/>
      <c r="B18" s="109"/>
      <c r="C18" s="109"/>
      <c r="D18" s="109"/>
      <c r="E18" s="109"/>
      <c r="F18" s="109"/>
      <c r="G18" s="86"/>
      <c r="H18" s="86"/>
    </row>
    <row r="19" spans="1:8">
      <c r="A19" s="29" t="s">
        <v>35</v>
      </c>
      <c r="B19" s="29"/>
      <c r="C19" s="29"/>
      <c r="D19" s="29"/>
      <c r="E19" s="29"/>
      <c r="F19" s="29"/>
      <c r="G19" s="86"/>
      <c r="H19" s="86"/>
    </row>
    <row r="20" spans="1:8">
      <c r="A20" s="29" t="s">
        <v>36</v>
      </c>
      <c r="B20" s="29"/>
      <c r="C20" s="29"/>
      <c r="D20" s="29"/>
      <c r="E20" s="29"/>
      <c r="F20" s="29"/>
      <c r="G20" s="86"/>
      <c r="H20" s="86"/>
    </row>
    <row r="21" spans="1:8">
      <c r="A21" s="123" t="s">
        <v>37</v>
      </c>
      <c r="B21" s="62">
        <f>'Balance Sheet'!D55</f>
        <v>20000</v>
      </c>
      <c r="C21" s="62">
        <f>'Balance Sheet'!E55</f>
        <v>20000</v>
      </c>
      <c r="D21" s="62">
        <f>'Balance Sheet'!F55</f>
        <v>40000</v>
      </c>
      <c r="E21" s="62">
        <f>'Balance Sheet'!G55</f>
        <v>127500</v>
      </c>
      <c r="F21" s="88">
        <f>'Balance Sheet'!H55</f>
        <v>350000</v>
      </c>
      <c r="G21" s="86"/>
      <c r="H21" s="86"/>
    </row>
    <row r="22" spans="1:8">
      <c r="A22" s="123" t="s">
        <v>117</v>
      </c>
      <c r="B22" s="62">
        <f>'Balance Sheet'!D20-'Balance Sheet'!C20</f>
        <v>0</v>
      </c>
      <c r="C22" s="62">
        <f>'Balance Sheet'!E20-'Balance Sheet'!D20</f>
        <v>0</v>
      </c>
      <c r="D22" s="62">
        <f>'Balance Sheet'!F20-'Balance Sheet'!E20</f>
        <v>10000</v>
      </c>
      <c r="E22" s="62">
        <f>'Balance Sheet'!G20-'Balance Sheet'!F20</f>
        <v>0</v>
      </c>
      <c r="F22" s="88">
        <f>'Balance Sheet'!H20-'Balance Sheet'!G20</f>
        <v>0</v>
      </c>
      <c r="G22" s="86"/>
      <c r="H22" s="86"/>
    </row>
    <row r="23" spans="1:8">
      <c r="A23" s="128" t="s">
        <v>38</v>
      </c>
      <c r="B23" s="114">
        <f>SUM(B21:B22)</f>
        <v>20000</v>
      </c>
      <c r="C23" s="111">
        <f>SUM(C21:C22)</f>
        <v>20000</v>
      </c>
      <c r="D23" s="111">
        <f>SUM(D21:D22)</f>
        <v>50000</v>
      </c>
      <c r="E23" s="112">
        <f>SUM(E21:E22)</f>
        <v>127500</v>
      </c>
      <c r="F23" s="113">
        <f>SUM(F21:F22)</f>
        <v>350000</v>
      </c>
      <c r="G23" s="86"/>
      <c r="H23" s="86"/>
    </row>
    <row r="24" spans="1:8" ht="17.649999999999999">
      <c r="A24" s="107" t="s">
        <v>125</v>
      </c>
      <c r="B24" s="109"/>
      <c r="C24" s="109"/>
      <c r="D24" s="109"/>
      <c r="E24" s="109"/>
      <c r="F24" s="109"/>
      <c r="G24" s="86"/>
      <c r="H24" s="86"/>
    </row>
    <row r="25" spans="1:8">
      <c r="A25" s="128" t="s">
        <v>39</v>
      </c>
      <c r="B25" s="114">
        <f>B17-B23</f>
        <v>-524545.45454545459</v>
      </c>
      <c r="C25" s="111">
        <f>C17-C23</f>
        <v>-1195545.4545454546</v>
      </c>
      <c r="D25" s="111">
        <f>D17-D23</f>
        <v>-1174657.5342465753</v>
      </c>
      <c r="E25" s="112">
        <f>E17-E23</f>
        <v>-86441.780821917811</v>
      </c>
      <c r="F25" s="113">
        <f>F17-F23</f>
        <v>3124264.840182648</v>
      </c>
      <c r="G25" s="86"/>
      <c r="H25" s="86"/>
    </row>
    <row r="26" spans="1:8">
      <c r="A26" s="128" t="s">
        <v>40</v>
      </c>
      <c r="B26" s="114">
        <f>B25</f>
        <v>-524545.45454545459</v>
      </c>
      <c r="C26" s="111">
        <f>B26+C25</f>
        <v>-1720090.9090909092</v>
      </c>
      <c r="D26" s="111">
        <f>C26+D25</f>
        <v>-2894748.4433374843</v>
      </c>
      <c r="E26" s="112">
        <f>D26+E25</f>
        <v>-2981190.2241594018</v>
      </c>
      <c r="F26" s="113">
        <f>E26+F25</f>
        <v>143074.6160232462</v>
      </c>
      <c r="G26" s="86"/>
      <c r="H26" s="86"/>
    </row>
    <row r="27" spans="1:8">
      <c r="A27" s="26"/>
      <c r="E27" s="26"/>
      <c r="F27" s="26"/>
      <c r="G27" s="86"/>
      <c r="H27" s="86"/>
    </row>
    <row r="28" spans="1:8">
      <c r="A28" t="s">
        <v>41</v>
      </c>
      <c r="B28" s="26"/>
      <c r="C28" s="26"/>
      <c r="D28" s="26"/>
      <c r="E28" s="26"/>
      <c r="F28" s="26"/>
      <c r="G28" s="86"/>
      <c r="H28" s="86"/>
    </row>
    <row r="29" spans="1:8">
      <c r="A29" t="s">
        <v>42</v>
      </c>
      <c r="G29" s="58"/>
      <c r="H29" s="58"/>
    </row>
    <row r="30" spans="1:8">
      <c r="A30" s="27"/>
      <c r="B30" s="27"/>
      <c r="C30" s="27"/>
      <c r="D30" s="27"/>
      <c r="E30" s="27"/>
      <c r="F30" s="27"/>
      <c r="G30" s="58"/>
      <c r="H30" s="58"/>
    </row>
    <row r="31" spans="1:8">
      <c r="G31" s="58"/>
      <c r="H31" s="58"/>
    </row>
  </sheetData>
  <phoneticPr fontId="15"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Revenues and Sources</vt:lpstr>
      <vt:lpstr>MILESTONES</vt:lpstr>
      <vt:lpstr>Summary Table &amp; Chart</vt:lpstr>
      <vt:lpstr>ProForma income - EBITDA only</vt:lpstr>
      <vt:lpstr>Assumptions</vt:lpstr>
      <vt:lpstr>ProForma income - Full</vt:lpstr>
      <vt:lpstr>Balance Sheet</vt:lpstr>
      <vt:lpstr>Operational Cash Flow</vt:lpstr>
    </vt:vector>
  </TitlesOfParts>
  <Company>Dawnbreaker,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Servo</dc:creator>
  <cp:lastModifiedBy>Matt Mindrum</cp:lastModifiedBy>
  <dcterms:created xsi:type="dcterms:W3CDTF">2005-05-22T03:07:52Z</dcterms:created>
  <dcterms:modified xsi:type="dcterms:W3CDTF">2020-12-13T20:00:11Z</dcterms:modified>
</cp:coreProperties>
</file>