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wombat/Dropbox (MIFTEK work dropbox)/JPR work dropbox Team Folder/Leinco/"/>
    </mc:Choice>
  </mc:AlternateContent>
  <xr:revisionPtr revIDLastSave="0" documentId="13_ncr:1_{4F6C1A1E-0A55-E949-A2E6-8E61A05EDF9E}" xr6:coauthVersionLast="47" xr6:coauthVersionMax="47" xr10:uidLastSave="{00000000-0000-0000-0000-000000000000}"/>
  <bookViews>
    <workbookView xWindow="-50880" yWindow="7840" windowWidth="28800" windowHeight="23580" tabRatio="500" activeTab="1" xr2:uid="{00000000-000D-0000-FFFF-FFFF00000000}"/>
  </bookViews>
  <sheets>
    <sheet name="updated 092520" sheetId="4" r:id="rId1"/>
    <sheet name="costs summary" sheetId="6" r:id="rId2"/>
    <sheet name="checking 42 ch costs" sheetId="7" r:id="rId3"/>
    <sheet name="orig Costs" sheetId="2" r:id="rId4"/>
    <sheet name="current investment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" i="6" l="1"/>
  <c r="H120" i="4"/>
  <c r="G18" i="6"/>
  <c r="G17" i="6"/>
  <c r="G15" i="6"/>
  <c r="G14" i="6"/>
  <c r="G11" i="6"/>
  <c r="G9" i="6"/>
  <c r="G8" i="6"/>
  <c r="G7" i="6"/>
  <c r="G6" i="6"/>
  <c r="G3" i="6"/>
  <c r="G2" i="6"/>
  <c r="C111" i="4"/>
  <c r="F18" i="6"/>
  <c r="F17" i="6"/>
  <c r="F15" i="6"/>
  <c r="F9" i="6"/>
  <c r="F8" i="6"/>
  <c r="F7" i="6"/>
  <c r="F6" i="6"/>
  <c r="F3" i="6"/>
  <c r="F2" i="6"/>
  <c r="E23" i="6"/>
  <c r="E86" i="4"/>
  <c r="F14" i="6" s="1"/>
  <c r="E76" i="4"/>
  <c r="F11" i="6" s="1"/>
  <c r="E63" i="4"/>
  <c r="E43" i="4"/>
  <c r="E33" i="4"/>
  <c r="E56" i="4"/>
  <c r="E38" i="4"/>
  <c r="D90" i="4"/>
  <c r="F80" i="4"/>
  <c r="F53" i="4"/>
  <c r="F50" i="4"/>
  <c r="F90" i="4"/>
  <c r="E90" i="4"/>
  <c r="F85" i="4"/>
  <c r="F84" i="4"/>
  <c r="F83" i="4"/>
  <c r="G79" i="4"/>
  <c r="G81" i="4"/>
  <c r="F81" i="4"/>
  <c r="F35" i="4"/>
  <c r="F71" i="4"/>
  <c r="F13" i="4"/>
  <c r="F12" i="4"/>
  <c r="F11" i="4" s="1"/>
  <c r="F26" i="4"/>
  <c r="F18" i="4"/>
  <c r="E27" i="4"/>
  <c r="E15" i="4"/>
  <c r="F23" i="6" l="1"/>
  <c r="G23" i="6"/>
  <c r="F86" i="4"/>
  <c r="E92" i="4"/>
  <c r="K92" i="4"/>
  <c r="I92" i="4"/>
  <c r="F118" i="4" l="1"/>
  <c r="F120" i="4"/>
  <c r="F119" i="4"/>
  <c r="H116" i="4"/>
  <c r="E95" i="4"/>
  <c r="E96" i="4" s="1"/>
  <c r="D86" i="4"/>
  <c r="F15" i="7" l="1"/>
  <c r="D15" i="7"/>
  <c r="G74" i="4" l="1"/>
  <c r="G44" i="4"/>
  <c r="G85" i="4"/>
  <c r="G84" i="4"/>
  <c r="G83" i="4"/>
  <c r="D15" i="4"/>
  <c r="D27" i="4"/>
  <c r="D33" i="4"/>
  <c r="D38" i="4"/>
  <c r="D43" i="4"/>
  <c r="D56" i="4"/>
  <c r="D63" i="4"/>
  <c r="D76" i="4"/>
  <c r="D116" i="4"/>
  <c r="J130" i="4"/>
  <c r="F15" i="4"/>
  <c r="F20" i="4"/>
  <c r="F21" i="4"/>
  <c r="F22" i="4"/>
  <c r="F23" i="4"/>
  <c r="F24" i="4"/>
  <c r="F25" i="4"/>
  <c r="F29" i="4"/>
  <c r="F30" i="4"/>
  <c r="F32" i="4"/>
  <c r="F36" i="4"/>
  <c r="F41" i="4"/>
  <c r="F42" i="4"/>
  <c r="F52" i="4"/>
  <c r="F56" i="4" s="1"/>
  <c r="F63" i="4"/>
  <c r="F67" i="4"/>
  <c r="F68" i="4"/>
  <c r="F69" i="4"/>
  <c r="F72" i="4"/>
  <c r="F73" i="4"/>
  <c r="D103" i="4"/>
  <c r="D111" i="4"/>
  <c r="E106" i="4"/>
  <c r="E107" i="4"/>
  <c r="F107" i="4" s="1"/>
  <c r="E108" i="4"/>
  <c r="F108" i="4" s="1"/>
  <c r="H130" i="4"/>
  <c r="G130" i="4"/>
  <c r="J129" i="4"/>
  <c r="H129" i="4"/>
  <c r="G129" i="4"/>
  <c r="F130" i="4"/>
  <c r="F129" i="4"/>
  <c r="J128" i="4"/>
  <c r="H128" i="4"/>
  <c r="G128" i="4"/>
  <c r="F128" i="4"/>
  <c r="J60" i="4"/>
  <c r="J79" i="4"/>
  <c r="H54" i="4"/>
  <c r="H92" i="4" s="1"/>
  <c r="C17" i="3"/>
  <c r="E14" i="2"/>
  <c r="G14" i="2" s="1"/>
  <c r="G16" i="2"/>
  <c r="E25" i="2"/>
  <c r="G25" i="2"/>
  <c r="E31" i="2"/>
  <c r="G31" i="2" s="1"/>
  <c r="E36" i="2"/>
  <c r="G36" i="2"/>
  <c r="E40" i="2"/>
  <c r="E43" i="2" s="1"/>
  <c r="G43" i="2" s="1"/>
  <c r="E41" i="2"/>
  <c r="E45" i="2"/>
  <c r="E48" i="2" s="1"/>
  <c r="G48" i="2" s="1"/>
  <c r="E46" i="2"/>
  <c r="E50" i="2"/>
  <c r="E53" i="2" s="1"/>
  <c r="G53" i="2" s="1"/>
  <c r="E51" i="2"/>
  <c r="G55" i="2"/>
  <c r="G57" i="2"/>
  <c r="G59" i="2"/>
  <c r="E61" i="2"/>
  <c r="G61" i="2" s="1"/>
  <c r="E63" i="2"/>
  <c r="G63" i="2"/>
  <c r="E67" i="2"/>
  <c r="G67" i="2" s="1"/>
  <c r="E68" i="2"/>
  <c r="G68" i="2"/>
  <c r="E69" i="2"/>
  <c r="G69" i="2" s="1"/>
  <c r="E70" i="2"/>
  <c r="G70" i="2"/>
  <c r="G71" i="2"/>
  <c r="G72" i="2"/>
  <c r="E73" i="2"/>
  <c r="G73" i="2"/>
  <c r="E74" i="2"/>
  <c r="G74" i="2" s="1"/>
  <c r="E75" i="2"/>
  <c r="G75" i="2"/>
  <c r="E76" i="2"/>
  <c r="G76" i="2" s="1"/>
  <c r="E77" i="2"/>
  <c r="G77" i="2"/>
  <c r="E79" i="2"/>
  <c r="G79" i="2" s="1"/>
  <c r="E80" i="2"/>
  <c r="G80" i="2"/>
  <c r="E81" i="2"/>
  <c r="G81" i="2" s="1"/>
  <c r="E83" i="2"/>
  <c r="G83" i="2"/>
  <c r="E84" i="2"/>
  <c r="G84" i="2" s="1"/>
  <c r="D93" i="2"/>
  <c r="G93" i="2" s="1"/>
  <c r="D14" i="2"/>
  <c r="F14" i="2"/>
  <c r="F85" i="2" s="1"/>
  <c r="F87" i="2" s="1"/>
  <c r="F16" i="2"/>
  <c r="D25" i="2"/>
  <c r="F25" i="2"/>
  <c r="D31" i="2"/>
  <c r="F31" i="2" s="1"/>
  <c r="D36" i="2"/>
  <c r="F36" i="2"/>
  <c r="D40" i="2"/>
  <c r="D43" i="2" s="1"/>
  <c r="F43" i="2" s="1"/>
  <c r="D41" i="2"/>
  <c r="D45" i="2"/>
  <c r="D48" i="2" s="1"/>
  <c r="F48" i="2" s="1"/>
  <c r="D46" i="2"/>
  <c r="D50" i="2"/>
  <c r="D53" i="2" s="1"/>
  <c r="F53" i="2" s="1"/>
  <c r="D51" i="2"/>
  <c r="F55" i="2"/>
  <c r="F57" i="2"/>
  <c r="F59" i="2"/>
  <c r="D61" i="2"/>
  <c r="F61" i="2"/>
  <c r="D63" i="2"/>
  <c r="F63" i="2" s="1"/>
  <c r="D67" i="2"/>
  <c r="F67" i="2"/>
  <c r="D68" i="2"/>
  <c r="F68" i="2" s="1"/>
  <c r="D69" i="2"/>
  <c r="F69" i="2"/>
  <c r="D70" i="2"/>
  <c r="F70" i="2" s="1"/>
  <c r="F71" i="2"/>
  <c r="F72" i="2"/>
  <c r="D73" i="2"/>
  <c r="F73" i="2" s="1"/>
  <c r="D74" i="2"/>
  <c r="F74" i="2"/>
  <c r="D75" i="2"/>
  <c r="F75" i="2" s="1"/>
  <c r="D76" i="2"/>
  <c r="F76" i="2"/>
  <c r="D77" i="2"/>
  <c r="F77" i="2" s="1"/>
  <c r="F79" i="2"/>
  <c r="F80" i="2"/>
  <c r="D81" i="2"/>
  <c r="F81" i="2" s="1"/>
  <c r="D83" i="2"/>
  <c r="F83" i="2"/>
  <c r="D84" i="2"/>
  <c r="F84" i="2" s="1"/>
  <c r="E103" i="4" l="1"/>
  <c r="F121" i="4"/>
  <c r="H119" i="4"/>
  <c r="H118" i="4"/>
  <c r="G121" i="4"/>
  <c r="D92" i="4"/>
  <c r="F117" i="4" s="1"/>
  <c r="H117" i="4" s="1"/>
  <c r="J92" i="4"/>
  <c r="F33" i="4"/>
  <c r="F27" i="4"/>
  <c r="E111" i="4"/>
  <c r="F43" i="4"/>
  <c r="G88" i="4"/>
  <c r="F76" i="4"/>
  <c r="F38" i="4"/>
  <c r="G85" i="2"/>
  <c r="G87" i="2" s="1"/>
  <c r="G96" i="2" s="1"/>
  <c r="F106" i="4"/>
  <c r="F111" i="4" s="1"/>
  <c r="F93" i="2"/>
  <c r="F96" i="2" s="1"/>
  <c r="G123" i="4" l="1"/>
  <c r="D127" i="4"/>
  <c r="E127" i="4" s="1"/>
  <c r="D95" i="4"/>
  <c r="F92" i="4"/>
  <c r="D120" i="4" s="1"/>
  <c r="D96" i="4" l="1"/>
  <c r="D117" i="4"/>
  <c r="D118" i="4"/>
  <c r="D128" i="4"/>
  <c r="D129" i="4" s="1"/>
  <c r="D119" i="4"/>
  <c r="D122" i="4" l="1"/>
  <c r="D123" i="4" s="1"/>
  <c r="E128" i="4"/>
  <c r="F131" i="4"/>
  <c r="H131" i="4"/>
  <c r="G131" i="4"/>
  <c r="G135" i="4"/>
  <c r="H135" i="4"/>
  <c r="J135" i="4"/>
  <c r="F135" i="4"/>
  <c r="J131" i="4"/>
  <c r="F132" i="4"/>
  <c r="E129" i="4"/>
  <c r="H136" i="4"/>
  <c r="G132" i="4"/>
  <c r="H132" i="4"/>
  <c r="J132" i="4"/>
  <c r="F136" i="4"/>
  <c r="G136" i="4"/>
  <c r="J136" i="4"/>
  <c r="D130" i="4"/>
  <c r="E130" i="4" l="1"/>
  <c r="G133" i="4"/>
  <c r="J137" i="4"/>
  <c r="G137" i="4"/>
  <c r="F137" i="4"/>
  <c r="H133" i="4"/>
  <c r="H137" i="4"/>
  <c r="J133" i="4"/>
  <c r="F133" i="4"/>
</calcChain>
</file>

<file path=xl/sharedStrings.xml><?xml version="1.0" encoding="utf-8"?>
<sst xmlns="http://schemas.openxmlformats.org/spreadsheetml/2006/main" count="479" uniqueCount="321">
  <si>
    <t xml:space="preserve">Cost Estimates for Miftek </t>
  </si>
  <si>
    <t>42 CH Sensor Unit</t>
  </si>
  <si>
    <t>Lid</t>
  </si>
  <si>
    <t>NRE</t>
  </si>
  <si>
    <t>Base</t>
  </si>
  <si>
    <t>Ceram Board</t>
  </si>
  <si>
    <t>Assembly</t>
  </si>
  <si>
    <t>10 Units</t>
  </si>
  <si>
    <t>100 Units</t>
  </si>
  <si>
    <t>Total</t>
  </si>
  <si>
    <t>42 SiPM x @$20 x 420</t>
  </si>
  <si>
    <t>TEC coolers  $740 ea</t>
  </si>
  <si>
    <t>10 unit cost 6 laser cont</t>
  </si>
  <si>
    <t>Includes Dev fee on 10</t>
  </si>
  <si>
    <t>Lasers</t>
  </si>
  <si>
    <t>375nm</t>
  </si>
  <si>
    <t>405nm</t>
  </si>
  <si>
    <t>488nm</t>
  </si>
  <si>
    <t>639nm</t>
  </si>
  <si>
    <t>520nm</t>
  </si>
  <si>
    <t>808nm</t>
  </si>
  <si>
    <t>Totals</t>
  </si>
  <si>
    <t>Major components</t>
  </si>
  <si>
    <t>Laser Excitation Optics</t>
  </si>
  <si>
    <t>filters  (6 total) @$500</t>
  </si>
  <si>
    <t>Box (internal design)@500</t>
  </si>
  <si>
    <t>Spectrometer unit</t>
  </si>
  <si>
    <t>toroidal mirror @1k (10)</t>
  </si>
  <si>
    <t>Box @2000 ( internal)</t>
  </si>
  <si>
    <t>Electonics Boards</t>
  </si>
  <si>
    <t>8Ch detection</t>
  </si>
  <si>
    <t>Board Only</t>
  </si>
  <si>
    <t>Component only</t>
  </si>
  <si>
    <t>Backplane Board</t>
  </si>
  <si>
    <t>Front End (on42 ch Sensor)</t>
  </si>
  <si>
    <t xml:space="preserve">Component only </t>
  </si>
  <si>
    <t>10x req 60</t>
  </si>
  <si>
    <t>100x req 600</t>
  </si>
  <si>
    <t>10 x req 1 ea</t>
  </si>
  <si>
    <t>100 x req 1 ea</t>
  </si>
  <si>
    <t xml:space="preserve">Board Only </t>
  </si>
  <si>
    <t>Mounting Board Comp</t>
  </si>
  <si>
    <t xml:space="preserve"> Sub Total</t>
  </si>
  <si>
    <t>Sub Total</t>
  </si>
  <si>
    <t>Sub total</t>
  </si>
  <si>
    <t>Power Supply Elect</t>
  </si>
  <si>
    <t>300 w best quality@100</t>
  </si>
  <si>
    <t>Power Supply  Fluidics</t>
  </si>
  <si>
    <t>Power Supply Lasers</t>
  </si>
  <si>
    <t>200 ea</t>
  </si>
  <si>
    <t xml:space="preserve">Fiber Optics </t>
  </si>
  <si>
    <t>US Fiber optics 42fibre</t>
  </si>
  <si>
    <t>modeul @1500/10</t>
  </si>
  <si>
    <t>Fluidics System</t>
  </si>
  <si>
    <t>Flow Chamber</t>
  </si>
  <si>
    <t>system cost</t>
  </si>
  <si>
    <t>sheath and waste</t>
  </si>
  <si>
    <t>collection optics</t>
  </si>
  <si>
    <t>Ex Optic</t>
  </si>
  <si>
    <t>96 Well unit</t>
  </si>
  <si>
    <t>System Base</t>
  </si>
  <si>
    <t>System Cover</t>
  </si>
  <si>
    <t>Computer</t>
  </si>
  <si>
    <t>Dev Cost incl</t>
  </si>
  <si>
    <t>Dev cost incl</t>
  </si>
  <si>
    <t>Monitor x 2</t>
  </si>
  <si>
    <t>ea 400 =800</t>
  </si>
  <si>
    <t>other fluidics hoses et</t>
  </si>
  <si>
    <t>10 Unit</t>
  </si>
  <si>
    <t>100 Unit</t>
  </si>
  <si>
    <t>Units each</t>
  </si>
  <si>
    <t>chamber cost</t>
  </si>
  <si>
    <t>3d exit chamber</t>
  </si>
  <si>
    <t>De cost 3D</t>
  </si>
  <si>
    <t>devel cost (Jenaoptic)</t>
  </si>
  <si>
    <t>Dev Sost Syst (Repco)</t>
  </si>
  <si>
    <t>5 per 5 laser syst@300</t>
  </si>
  <si>
    <t>Manufacture</t>
  </si>
  <si>
    <t>shipping</t>
  </si>
  <si>
    <t>Packaging</t>
  </si>
  <si>
    <t>Testing</t>
  </si>
  <si>
    <t>$1000</t>
  </si>
  <si>
    <t>$500</t>
  </si>
  <si>
    <t>Each Unit cost est</t>
  </si>
  <si>
    <t>Unit costs us to manufacture</t>
  </si>
  <si>
    <t>150 hrs @ $30/hr</t>
  </si>
  <si>
    <t>20 Hrs @ $30/hr</t>
  </si>
  <si>
    <t>Ea 800</t>
  </si>
  <si>
    <t>Design Cost (Internal)</t>
  </si>
  <si>
    <t>Design Cost (Opt Eng Cons)</t>
  </si>
  <si>
    <t>System Bits'n pieces</t>
  </si>
  <si>
    <t>$1000 extra bits</t>
  </si>
  <si>
    <t>Fluidic Control Electronics</t>
  </si>
  <si>
    <t>Eid Laser Control Mod</t>
  </si>
  <si>
    <t xml:space="preserve"> </t>
  </si>
  <si>
    <t>ROI</t>
  </si>
  <si>
    <t>modulel @1500/10</t>
  </si>
  <si>
    <t>200 hrs @ $30/hr</t>
  </si>
  <si>
    <t>40 Hrs @ $30/hr</t>
  </si>
  <si>
    <t>Components</t>
  </si>
  <si>
    <t>Components &amp; design</t>
  </si>
  <si>
    <t>Cost of assembly</t>
  </si>
  <si>
    <t>(Av salary $60k) for staff)</t>
  </si>
  <si>
    <t>Miftek (plus cytomics) investment since 2013</t>
  </si>
  <si>
    <t xml:space="preserve">NIH Grants </t>
  </si>
  <si>
    <t>sales</t>
  </si>
  <si>
    <t>JPR  addit</t>
  </si>
  <si>
    <t>EIDEN (ENG)</t>
  </si>
  <si>
    <t>Lintek (ENG)</t>
  </si>
  <si>
    <t>ASAHi (eng)</t>
  </si>
  <si>
    <t>Assets</t>
  </si>
  <si>
    <t>Patents</t>
  </si>
  <si>
    <t>Equip res</t>
  </si>
  <si>
    <t>Facilities</t>
  </si>
  <si>
    <t>Eiden Laser Control Mod</t>
  </si>
  <si>
    <t>Ea 1000</t>
  </si>
  <si>
    <t>ea 500 =1000</t>
  </si>
  <si>
    <t>Units cost per  each when building multiple</t>
  </si>
  <si>
    <t>NRE cooling</t>
  </si>
  <si>
    <t>300 w best quality@500</t>
  </si>
  <si>
    <t>$200 ea</t>
  </si>
  <si>
    <t>US Fiber optics for 42fibre</t>
  </si>
  <si>
    <t>Power Supply Laser cont</t>
  </si>
  <si>
    <t>Power Supply  Fluidics cont</t>
  </si>
  <si>
    <t xml:space="preserve">Fiber Optics for lasers </t>
  </si>
  <si>
    <t>NRE for fiber optic design</t>
  </si>
  <si>
    <t>NRE Pwr sup design</t>
  </si>
  <si>
    <t>Power supply misc comp</t>
  </si>
  <si>
    <t xml:space="preserve"> Total</t>
  </si>
  <si>
    <t>Fluidic Control Elect/unit</t>
  </si>
  <si>
    <t>Box (holder unitl)@500</t>
  </si>
  <si>
    <t>unit to Chamber optics</t>
  </si>
  <si>
    <t>Other Optics</t>
  </si>
  <si>
    <t>Sig collector board</t>
  </si>
  <si>
    <t xml:space="preserve"> exit chamber fluidics</t>
  </si>
  <si>
    <t>box machined</t>
  </si>
  <si>
    <t>Other Hardware</t>
  </si>
  <si>
    <t>sys</t>
  </si>
  <si>
    <t>96 well unit</t>
  </si>
  <si>
    <t>sheath / waste</t>
  </si>
  <si>
    <t>hoses fluidicis</t>
  </si>
  <si>
    <t>fluidic controls</t>
  </si>
  <si>
    <t>fluidic module in unit</t>
  </si>
  <si>
    <t>design</t>
  </si>
  <si>
    <t xml:space="preserve"> design</t>
  </si>
  <si>
    <t>control electronics</t>
  </si>
  <si>
    <t>laser case for all lasers</t>
  </si>
  <si>
    <t>Laser case holder unit</t>
  </si>
  <si>
    <t>Excitation box unit</t>
  </si>
  <si>
    <t>Design</t>
  </si>
  <si>
    <t>optical unit with filter cost</t>
  </si>
  <si>
    <t>BOM Unit cost est</t>
  </si>
  <si>
    <t xml:space="preserve">TOTAL </t>
  </si>
  <si>
    <t>per instrument</t>
  </si>
  <si>
    <t xml:space="preserve">Cost per unit total </t>
  </si>
  <si>
    <t>Total Overal all Costs</t>
  </si>
  <si>
    <t>Tot/unit cost inc dev</t>
  </si>
  <si>
    <t>Sale Price</t>
  </si>
  <si>
    <t>assume no sales</t>
  </si>
  <si>
    <t>assume all sold</t>
  </si>
  <si>
    <t>5 Prototype units</t>
  </si>
  <si>
    <t>5 unit cost EA</t>
  </si>
  <si>
    <t>Unit cost of 5 units</t>
  </si>
  <si>
    <t xml:space="preserve">Ciost of making 5 Unit </t>
  </si>
  <si>
    <t>100 unit cost (assembly)</t>
  </si>
  <si>
    <t>Total cost inc assem/ship</t>
  </si>
  <si>
    <t>cost/unit all inclusive</t>
  </si>
  <si>
    <t>This cost is added to every single instrument manufacture and covers all assembly and test  &amp; shipping</t>
  </si>
  <si>
    <t>100 unit production</t>
  </si>
  <si>
    <t>300 unit production</t>
  </si>
  <si>
    <t>All overheads</t>
  </si>
  <si>
    <t>200 unit production</t>
  </si>
  <si>
    <t>Sales &amp;Marketting Costs</t>
  </si>
  <si>
    <t>Service costs</t>
  </si>
  <si>
    <t>BOM 5  units</t>
  </si>
  <si>
    <t>100  per Unit cost</t>
  </si>
  <si>
    <t>Unit costs us to manufacture &amp; Labor</t>
  </si>
  <si>
    <t>BOM 100 Units&amp; Labor</t>
  </si>
  <si>
    <t>BOM 200 Units &amp; Labor</t>
  </si>
  <si>
    <t>BOB 300 Units &amp; Labor</t>
  </si>
  <si>
    <t>Assembly per unit</t>
  </si>
  <si>
    <t>All Inclusive costs - BOM, Assembly, Labor Overheards</t>
  </si>
  <si>
    <t>100 unit costs</t>
  </si>
  <si>
    <t>42 SiPM x @$40 x 1680 x5</t>
  </si>
  <si>
    <t>(uopdated 09/20</t>
  </si>
  <si>
    <t>Lasers @ 5 units</t>
  </si>
  <si>
    <t>System Component</t>
  </si>
  <si>
    <t>Current Status</t>
  </si>
  <si>
    <t>Time to Beta Protocype</t>
  </si>
  <si>
    <t>Investment to date</t>
  </si>
  <si>
    <t>Investment for next 100 Units</t>
  </si>
  <si>
    <t>Alpha</t>
  </si>
  <si>
    <t>60 days</t>
  </si>
  <si>
    <t>200 days</t>
  </si>
  <si>
    <t>90 days</t>
  </si>
  <si>
    <t>Design only</t>
  </si>
  <si>
    <t>120 days</t>
  </si>
  <si>
    <t>?</t>
  </si>
  <si>
    <t>Electronics Boards</t>
  </si>
  <si>
    <t>base concept</t>
  </si>
  <si>
    <t>concept only</t>
  </si>
  <si>
    <t>SG&amp;A</t>
  </si>
  <si>
    <t>EXT NRE Yr 1</t>
  </si>
  <si>
    <t>Ext NRE Yr 2</t>
  </si>
  <si>
    <t>INT NRE Yr 1</t>
  </si>
  <si>
    <t>Int NRE Yr3</t>
  </si>
  <si>
    <t>components</t>
  </si>
  <si>
    <t xml:space="preserve">5 unit costs for prototypes </t>
  </si>
  <si>
    <t>$3412.00 each</t>
  </si>
  <si>
    <t>5 units is minimum production cost and necessary for prototype testing</t>
  </si>
  <si>
    <t>1-5 unit production</t>
  </si>
  <si>
    <t>Most equipment has not been purcahsed by Miftek but was by Cytomics Analytical, LLC</t>
  </si>
  <si>
    <t>All facilities and equipment are owned by Cytomics Analytical and loaned to Miftek for use</t>
  </si>
  <si>
    <t>Intelectual Property expenses</t>
  </si>
  <si>
    <t>NSF Grants</t>
  </si>
  <si>
    <t>Roche grant</t>
  </si>
  <si>
    <t>Ind State grants</t>
  </si>
  <si>
    <t>Sony (engineering)</t>
  </si>
  <si>
    <t>Lintek (Engineering)</t>
  </si>
  <si>
    <t>MODIFIED to create a 5 unit prototype although 1-2 units will suffice</t>
  </si>
  <si>
    <t>staff x 3 add'l staff for 100+</t>
  </si>
  <si>
    <t>comm unit tested</t>
  </si>
  <si>
    <t>2nd version design</t>
  </si>
  <si>
    <t>Time to Manufacture +</t>
  </si>
  <si>
    <t>180 days final</t>
  </si>
  <si>
    <t>Complete</t>
  </si>
  <si>
    <t>unknown</t>
  </si>
  <si>
    <t>prototype working</t>
  </si>
  <si>
    <t>100 days</t>
  </si>
  <si>
    <t>IP/legal</t>
  </si>
  <si>
    <t>Investment to get to  prototype</t>
  </si>
  <si>
    <t>1-2 Prototype</t>
  </si>
  <si>
    <t>12CH board set x4 system</t>
  </si>
  <si>
    <t>unit cost total</t>
  </si>
  <si>
    <t>1-2 unit cost EA</t>
  </si>
  <si>
    <t>NRE - NON RECURRING ENG COSTS</t>
  </si>
  <si>
    <t>Incl Min Dev fee on 10</t>
  </si>
  <si>
    <t>6 per 6 laser syst@500</t>
  </si>
  <si>
    <t>42 SiPM x @$30 x 440</t>
  </si>
  <si>
    <t>Laser Casedesign</t>
  </si>
  <si>
    <t>toroidal mirror @1.5k (10)</t>
  </si>
  <si>
    <t>software Analysis</t>
  </si>
  <si>
    <t>Software system control</t>
  </si>
  <si>
    <t>$1000 extra comp/unit</t>
  </si>
  <si>
    <t>System testing</t>
  </si>
  <si>
    <t>1-2 UNITS to get done in 12 months</t>
  </si>
  <si>
    <t>$1800 ea</t>
  </si>
  <si>
    <t>$700 ea</t>
  </si>
  <si>
    <t>$100 ea</t>
  </si>
  <si>
    <t>$250 ea</t>
  </si>
  <si>
    <t>$500 ea</t>
  </si>
  <si>
    <t>Custom cable for 42 ch</t>
  </si>
  <si>
    <t xml:space="preserve">NRE 96 Well unit ^ </t>
  </si>
  <si>
    <t>NRE devel cost *</t>
  </si>
  <si>
    <t>NRE^</t>
  </si>
  <si>
    <t>NRE Cable Design*</t>
  </si>
  <si>
    <t>NRE R&amp;D design cost*^</t>
  </si>
  <si>
    <t>NRE Design Cost ^(Intern)</t>
  </si>
  <si>
    <t>NRE*</t>
  </si>
  <si>
    <t>NRE cooling*</t>
  </si>
  <si>
    <t>NRE*10x cost 6 laser cont</t>
  </si>
  <si>
    <t>NRE* Laser case design</t>
  </si>
  <si>
    <t>NRE^ Optics  dist unit</t>
  </si>
  <si>
    <t>NRE Fluidic Cont Electron*^</t>
  </si>
  <si>
    <t>Dev Cost incl*</t>
  </si>
  <si>
    <t>Dev cost incl*</t>
  </si>
  <si>
    <t>Board Only Set complete) $3200 @100x  (min purch)</t>
  </si>
  <si>
    <t>Base unit board for 8ch</t>
  </si>
  <si>
    <t>NREDesign cost (EIDEN)</t>
  </si>
  <si>
    <t>$300 ea</t>
  </si>
  <si>
    <t>system cost fluidic/unit</t>
  </si>
  <si>
    <t>Flow Chamber &amp; Fluidics</t>
  </si>
  <si>
    <t xml:space="preserve">sheath and waste </t>
  </si>
  <si>
    <t>Cost of  Miftek Staff included in NRE costs</t>
  </si>
  <si>
    <t>first year cost^%</t>
  </si>
  <si>
    <t>Note 3: % 90% of software development cost is personnel</t>
  </si>
  <si>
    <t>Note 2: ^Some of these NRE costs would be inhouse so staff salary</t>
  </si>
  <si>
    <t>Note 1: *These NRE costs would be outsourced</t>
  </si>
  <si>
    <t>100 Unit production cost</t>
  </si>
  <si>
    <t>Components (ea discounted)</t>
  </si>
  <si>
    <t>$900 ea @100</t>
  </si>
  <si>
    <t>$100 ea for 100</t>
  </si>
  <si>
    <t>$100 ea @100</t>
  </si>
  <si>
    <t>$50 ea @100</t>
  </si>
  <si>
    <t>$1200 ea @100 (x6)</t>
  </si>
  <si>
    <t>$2000 ea @100</t>
  </si>
  <si>
    <t xml:space="preserve">system base unit </t>
  </si>
  <si>
    <t>Engineering</t>
  </si>
  <si>
    <t>BOM 1-2 units</t>
  </si>
  <si>
    <t>Incl all previios costs</t>
  </si>
  <si>
    <t>Cost of making 1-2 units</t>
  </si>
  <si>
    <t>no sale</t>
  </si>
  <si>
    <t>ROI at 100 Units</t>
  </si>
  <si>
    <t>cost of making 300 units</t>
  </si>
  <si>
    <t>Cost of making  200 units</t>
  </si>
  <si>
    <t>cost of making 100 units</t>
  </si>
  <si>
    <t>ROI at 200 Units</t>
  </si>
  <si>
    <t>ROI at 300 Units</t>
  </si>
  <si>
    <t xml:space="preserve">total cost of BOM &amp; labor </t>
  </si>
  <si>
    <t>SALES AND MARKETING COSTS</t>
  </si>
  <si>
    <t xml:space="preserve"> Unit cost @ 100 units</t>
  </si>
  <si>
    <t>Software Control</t>
  </si>
  <si>
    <t>Software Analytical</t>
  </si>
  <si>
    <t>250 days</t>
  </si>
  <si>
    <t>300 days draft op</t>
  </si>
  <si>
    <t>90 days final</t>
  </si>
  <si>
    <t>Optical systems</t>
  </si>
  <si>
    <t>Fluidics systems</t>
  </si>
  <si>
    <t>Additional Electronics</t>
  </si>
  <si>
    <t>OPTICS Spectrometer unit</t>
  </si>
  <si>
    <t>Power controls</t>
  </si>
  <si>
    <t xml:space="preserve"> Base/Case</t>
  </si>
  <si>
    <t>Laser control Optic</t>
  </si>
  <si>
    <t>Lasers excitation optic</t>
  </si>
  <si>
    <t>Spectrometer syst</t>
  </si>
  <si>
    <t>BOM /unit cost</t>
  </si>
  <si>
    <t>1-2 unit</t>
  </si>
  <si>
    <t>5 units</t>
  </si>
  <si>
    <t>100 units</t>
  </si>
  <si>
    <t>200 units</t>
  </si>
  <si>
    <t>Manuf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</si>
</sst>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4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2"/>
      <color rgb="FF9C65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Calibri"/>
      <family val="2"/>
      <scheme val="minor"/>
    </font>
    <font>
      <sz val="9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000000"/>
      <name val="Calibri"/>
      <family val="3"/>
      <charset val="128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9C0006"/>
      <name val="Calibri (Body)"/>
    </font>
    <font>
      <sz val="10"/>
      <color rgb="FF9C0006"/>
      <name val="Calibri (Body)"/>
    </font>
    <font>
      <sz val="14"/>
      <color rgb="FFFF0000"/>
      <name val="Calibri (Body)"/>
    </font>
    <font>
      <sz val="9"/>
      <color theme="1"/>
      <name val="Calibri (Body)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CFFCC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theme="4" tint="0.79998168889431442"/>
        <bgColor indexed="65"/>
      </patternFill>
    </fill>
  </fills>
  <borders count="7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theme="7" tint="-0.24994659260841701"/>
      </left>
      <right/>
      <top style="thick">
        <color theme="7" tint="-0.24994659260841701"/>
      </top>
      <bottom/>
      <diagonal/>
    </border>
    <border>
      <left/>
      <right/>
      <top style="thick">
        <color theme="7" tint="-0.24994659260841701"/>
      </top>
      <bottom/>
      <diagonal/>
    </border>
    <border>
      <left/>
      <right style="thick">
        <color theme="7" tint="-0.24994659260841701"/>
      </right>
      <top style="thick">
        <color theme="7" tint="-0.24994659260841701"/>
      </top>
      <bottom/>
      <diagonal/>
    </border>
    <border>
      <left style="thick">
        <color theme="7" tint="-0.24994659260841701"/>
      </left>
      <right/>
      <top/>
      <bottom/>
      <diagonal/>
    </border>
    <border>
      <left/>
      <right style="thick">
        <color theme="7" tint="-0.24994659260841701"/>
      </right>
      <top/>
      <bottom/>
      <diagonal/>
    </border>
    <border>
      <left style="thick">
        <color theme="7" tint="-0.24994659260841701"/>
      </left>
      <right/>
      <top/>
      <bottom style="thick">
        <color theme="7" tint="-0.24994659260841701"/>
      </bottom>
      <diagonal/>
    </border>
    <border>
      <left/>
      <right/>
      <top/>
      <bottom style="thick">
        <color theme="7" tint="-0.24994659260841701"/>
      </bottom>
      <diagonal/>
    </border>
    <border>
      <left/>
      <right style="thick">
        <color theme="7" tint="-0.24994659260841701"/>
      </right>
      <top/>
      <bottom style="thick">
        <color theme="7" tint="-0.24994659260841701"/>
      </bottom>
      <diagonal/>
    </border>
    <border>
      <left style="thick">
        <color rgb="FFFFC000"/>
      </left>
      <right/>
      <top style="thick">
        <color rgb="FFFFC000"/>
      </top>
      <bottom/>
      <diagonal/>
    </border>
    <border>
      <left/>
      <right/>
      <top style="thick">
        <color rgb="FFFFC000"/>
      </top>
      <bottom/>
      <diagonal/>
    </border>
    <border>
      <left/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/>
      <top/>
      <bottom/>
      <diagonal/>
    </border>
    <border>
      <left/>
      <right style="thick">
        <color rgb="FFFFC000"/>
      </right>
      <top/>
      <bottom/>
      <diagonal/>
    </border>
    <border>
      <left style="thick">
        <color rgb="FFFFC000"/>
      </left>
      <right/>
      <top/>
      <bottom style="thick">
        <color rgb="FFFFC000"/>
      </bottom>
      <diagonal/>
    </border>
    <border>
      <left/>
      <right/>
      <top/>
      <bottom style="thick">
        <color rgb="FFFFC000"/>
      </bottom>
      <diagonal/>
    </border>
    <border>
      <left/>
      <right style="thick">
        <color rgb="FFFFC000"/>
      </right>
      <top/>
      <bottom style="thick">
        <color rgb="FFFFC000"/>
      </bottom>
      <diagonal/>
    </border>
    <border>
      <left style="thick">
        <color theme="5"/>
      </left>
      <right/>
      <top style="thick">
        <color theme="5"/>
      </top>
      <bottom/>
      <diagonal/>
    </border>
    <border>
      <left/>
      <right/>
      <top style="thick">
        <color theme="5"/>
      </top>
      <bottom/>
      <diagonal/>
    </border>
    <border>
      <left/>
      <right style="thick">
        <color theme="5"/>
      </right>
      <top style="thick">
        <color theme="5"/>
      </top>
      <bottom/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  <border>
      <left/>
      <right/>
      <top style="thick">
        <color rgb="FFFF0000"/>
      </top>
      <bottom style="thick">
        <color rgb="FFFF0000"/>
      </bottom>
      <diagonal/>
    </border>
  </borders>
  <cellStyleXfs count="34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11" borderId="2" applyNumberFormat="0" applyAlignment="0" applyProtection="0"/>
    <xf numFmtId="0" fontId="2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20" borderId="0" applyNumberFormat="0" applyBorder="0" applyAlignment="0" applyProtection="0"/>
  </cellStyleXfs>
  <cellXfs count="359">
    <xf numFmtId="0" fontId="0" fillId="0" borderId="0" xfId="0"/>
    <xf numFmtId="0" fontId="5" fillId="0" borderId="0" xfId="0" applyFont="1"/>
    <xf numFmtId="49" fontId="6" fillId="0" borderId="0" xfId="0" applyNumberFormat="1" applyFont="1" applyAlignment="1">
      <alignment wrapText="1"/>
    </xf>
    <xf numFmtId="0" fontId="6" fillId="0" borderId="0" xfId="0" applyFont="1"/>
    <xf numFmtId="49" fontId="6" fillId="3" borderId="0" xfId="0" applyNumberFormat="1" applyFont="1" applyFill="1" applyAlignment="1">
      <alignment wrapText="1"/>
    </xf>
    <xf numFmtId="0" fontId="6" fillId="3" borderId="0" xfId="0" applyFont="1" applyFill="1"/>
    <xf numFmtId="49" fontId="5" fillId="0" borderId="0" xfId="0" applyNumberFormat="1" applyFont="1" applyAlignment="1">
      <alignment wrapText="1"/>
    </xf>
    <xf numFmtId="49" fontId="5" fillId="2" borderId="0" xfId="0" applyNumberFormat="1" applyFont="1" applyFill="1" applyAlignment="1">
      <alignment wrapText="1"/>
    </xf>
    <xf numFmtId="0" fontId="5" fillId="2" borderId="0" xfId="0" applyFont="1" applyFill="1"/>
    <xf numFmtId="3" fontId="5" fillId="2" borderId="0" xfId="0" applyNumberFormat="1" applyFont="1" applyFill="1"/>
    <xf numFmtId="3" fontId="6" fillId="0" borderId="0" xfId="0" applyNumberFormat="1" applyFont="1"/>
    <xf numFmtId="49" fontId="7" fillId="0" borderId="0" xfId="0" applyNumberFormat="1" applyFont="1" applyAlignment="1">
      <alignment wrapText="1"/>
    </xf>
    <xf numFmtId="49" fontId="5" fillId="4" borderId="0" xfId="0" applyNumberFormat="1" applyFont="1" applyFill="1" applyAlignment="1">
      <alignment wrapText="1"/>
    </xf>
    <xf numFmtId="0" fontId="5" fillId="4" borderId="0" xfId="0" applyFont="1" applyFill="1"/>
    <xf numFmtId="49" fontId="5" fillId="3" borderId="0" xfId="0" applyNumberFormat="1" applyFont="1" applyFill="1" applyAlignment="1">
      <alignment wrapText="1"/>
    </xf>
    <xf numFmtId="0" fontId="5" fillId="3" borderId="0" xfId="0" applyFont="1" applyFill="1"/>
    <xf numFmtId="0" fontId="8" fillId="2" borderId="0" xfId="0" applyFont="1" applyFill="1"/>
    <xf numFmtId="0" fontId="9" fillId="0" borderId="0" xfId="0" applyFont="1"/>
    <xf numFmtId="0" fontId="9" fillId="5" borderId="0" xfId="0" applyFont="1" applyFill="1"/>
    <xf numFmtId="0" fontId="8" fillId="0" borderId="0" xfId="0" applyFont="1"/>
    <xf numFmtId="0" fontId="14" fillId="0" borderId="0" xfId="0" applyFont="1"/>
    <xf numFmtId="49" fontId="15" fillId="2" borderId="0" xfId="0" applyNumberFormat="1" applyFont="1" applyFill="1" applyAlignment="1">
      <alignment wrapText="1"/>
    </xf>
    <xf numFmtId="0" fontId="15" fillId="0" borderId="0" xfId="0" applyFont="1"/>
    <xf numFmtId="2" fontId="15" fillId="4" borderId="0" xfId="0" applyNumberFormat="1" applyFont="1" applyFill="1" applyAlignment="1">
      <alignment wrapText="1"/>
    </xf>
    <xf numFmtId="164" fontId="6" fillId="0" borderId="0" xfId="0" applyNumberFormat="1" applyFont="1"/>
    <xf numFmtId="0" fontId="11" fillId="7" borderId="0" xfId="114"/>
    <xf numFmtId="2" fontId="5" fillId="0" borderId="0" xfId="0" applyNumberFormat="1" applyFont="1" applyAlignment="1">
      <alignment wrapText="1"/>
    </xf>
    <xf numFmtId="164" fontId="15" fillId="0" borderId="0" xfId="0" applyNumberFormat="1" applyFont="1" applyFill="1" applyAlignment="1">
      <alignment wrapText="1"/>
    </xf>
    <xf numFmtId="164" fontId="6" fillId="0" borderId="0" xfId="0" applyNumberFormat="1" applyFont="1" applyAlignment="1">
      <alignment wrapText="1"/>
    </xf>
    <xf numFmtId="49" fontId="17" fillId="0" borderId="0" xfId="0" applyNumberFormat="1" applyFont="1" applyAlignment="1">
      <alignment wrapText="1"/>
    </xf>
    <xf numFmtId="0" fontId="19" fillId="0" borderId="0" xfId="0" applyFont="1"/>
    <xf numFmtId="164" fontId="14" fillId="0" borderId="0" xfId="0" applyNumberFormat="1" applyFont="1"/>
    <xf numFmtId="49" fontId="14" fillId="0" borderId="0" xfId="0" applyNumberFormat="1" applyFont="1" applyAlignment="1">
      <alignment wrapText="1"/>
    </xf>
    <xf numFmtId="0" fontId="0" fillId="9" borderId="0" xfId="0" applyFill="1"/>
    <xf numFmtId="164" fontId="0" fillId="0" borderId="0" xfId="0" applyNumberFormat="1"/>
    <xf numFmtId="0" fontId="19" fillId="2" borderId="0" xfId="0" applyFont="1" applyFill="1"/>
    <xf numFmtId="6" fontId="19" fillId="2" borderId="0" xfId="0" applyNumberFormat="1" applyFont="1" applyFill="1"/>
    <xf numFmtId="0" fontId="21" fillId="11" borderId="2" xfId="143"/>
    <xf numFmtId="0" fontId="22" fillId="0" borderId="0" xfId="144"/>
    <xf numFmtId="49" fontId="22" fillId="0" borderId="0" xfId="144" applyNumberFormat="1" applyAlignment="1">
      <alignment wrapText="1"/>
    </xf>
    <xf numFmtId="0" fontId="20" fillId="10" borderId="1" xfId="142"/>
    <xf numFmtId="1" fontId="6" fillId="0" borderId="0" xfId="0" applyNumberFormat="1" applyFont="1" applyAlignment="1">
      <alignment wrapText="1"/>
    </xf>
    <xf numFmtId="1" fontId="6" fillId="3" borderId="0" xfId="0" applyNumberFormat="1" applyFont="1" applyFill="1" applyAlignment="1">
      <alignment wrapText="1"/>
    </xf>
    <xf numFmtId="1" fontId="0" fillId="0" borderId="0" xfId="0" applyNumberFormat="1"/>
    <xf numFmtId="1" fontId="22" fillId="0" borderId="0" xfId="144" applyNumberFormat="1"/>
    <xf numFmtId="1" fontId="5" fillId="3" borderId="0" xfId="0" applyNumberFormat="1" applyFont="1" applyFill="1" applyAlignment="1">
      <alignment wrapText="1"/>
    </xf>
    <xf numFmtId="1" fontId="14" fillId="0" borderId="0" xfId="0" applyNumberFormat="1" applyFont="1" applyAlignment="1">
      <alignment wrapText="1"/>
    </xf>
    <xf numFmtId="1" fontId="30" fillId="0" borderId="0" xfId="0" applyNumberFormat="1" applyFont="1" applyAlignment="1">
      <alignment wrapText="1"/>
    </xf>
    <xf numFmtId="1" fontId="6" fillId="0" borderId="0" xfId="0" applyNumberFormat="1" applyFont="1"/>
    <xf numFmtId="1" fontId="6" fillId="2" borderId="0" xfId="0" applyNumberFormat="1" applyFont="1" applyFill="1"/>
    <xf numFmtId="1" fontId="21" fillId="11" borderId="2" xfId="143" applyNumberFormat="1"/>
    <xf numFmtId="1" fontId="20" fillId="10" borderId="1" xfId="142" applyNumberFormat="1"/>
    <xf numFmtId="1" fontId="15" fillId="0" borderId="0" xfId="0" applyNumberFormat="1" applyFont="1"/>
    <xf numFmtId="1" fontId="19" fillId="0" borderId="0" xfId="0" applyNumberFormat="1" applyFont="1"/>
    <xf numFmtId="0" fontId="0" fillId="12" borderId="0" xfId="0" applyFill="1"/>
    <xf numFmtId="1" fontId="0" fillId="12" borderId="0" xfId="0" applyNumberFormat="1" applyFill="1"/>
    <xf numFmtId="1" fontId="6" fillId="12" borderId="0" xfId="0" applyNumberFormat="1" applyFont="1" applyFill="1"/>
    <xf numFmtId="49" fontId="6" fillId="12" borderId="0" xfId="0" applyNumberFormat="1" applyFont="1" applyFill="1" applyAlignment="1">
      <alignment wrapText="1"/>
    </xf>
    <xf numFmtId="49" fontId="22" fillId="12" borderId="0" xfId="144" applyNumberFormat="1" applyFill="1" applyAlignment="1">
      <alignment wrapText="1"/>
    </xf>
    <xf numFmtId="1" fontId="22" fillId="12" borderId="0" xfId="144" applyNumberFormat="1" applyFill="1"/>
    <xf numFmtId="2" fontId="22" fillId="12" borderId="0" xfId="144" applyNumberFormat="1" applyFill="1"/>
    <xf numFmtId="165" fontId="22" fillId="0" borderId="0" xfId="144" applyNumberFormat="1"/>
    <xf numFmtId="165" fontId="0" fillId="0" borderId="0" xfId="0" applyNumberFormat="1"/>
    <xf numFmtId="0" fontId="0" fillId="0" borderId="0" xfId="0" applyFont="1"/>
    <xf numFmtId="1" fontId="28" fillId="0" borderId="0" xfId="0" applyNumberFormat="1" applyFont="1"/>
    <xf numFmtId="6" fontId="6" fillId="0" borderId="0" xfId="0" applyNumberFormat="1" applyFont="1"/>
    <xf numFmtId="8" fontId="6" fillId="0" borderId="0" xfId="0" applyNumberFormat="1" applyFont="1"/>
    <xf numFmtId="49" fontId="14" fillId="13" borderId="0" xfId="0" applyNumberFormat="1" applyFont="1" applyFill="1" applyAlignment="1">
      <alignment wrapText="1"/>
    </xf>
    <xf numFmtId="49" fontId="6" fillId="13" borderId="0" xfId="0" applyNumberFormat="1" applyFont="1" applyFill="1" applyAlignment="1">
      <alignment wrapText="1"/>
    </xf>
    <xf numFmtId="1" fontId="6" fillId="13" borderId="0" xfId="0" applyNumberFormat="1" applyFont="1" applyFill="1" applyAlignment="1">
      <alignment wrapText="1"/>
    </xf>
    <xf numFmtId="0" fontId="6" fillId="13" borderId="0" xfId="0" applyFont="1" applyFill="1"/>
    <xf numFmtId="6" fontId="6" fillId="13" borderId="0" xfId="0" applyNumberFormat="1" applyFont="1" applyFill="1" applyAlignment="1">
      <alignment wrapText="1"/>
    </xf>
    <xf numFmtId="49" fontId="22" fillId="13" borderId="0" xfId="144" applyNumberFormat="1" applyFill="1" applyAlignment="1">
      <alignment wrapText="1"/>
    </xf>
    <xf numFmtId="1" fontId="22" fillId="13" borderId="0" xfId="144" applyNumberFormat="1" applyFill="1" applyAlignment="1">
      <alignment wrapText="1"/>
    </xf>
    <xf numFmtId="49" fontId="6" fillId="14" borderId="0" xfId="0" applyNumberFormat="1" applyFont="1" applyFill="1" applyAlignment="1">
      <alignment wrapText="1"/>
    </xf>
    <xf numFmtId="0" fontId="0" fillId="14" borderId="0" xfId="0" applyFill="1"/>
    <xf numFmtId="165" fontId="0" fillId="14" borderId="0" xfId="0" applyNumberFormat="1" applyFill="1"/>
    <xf numFmtId="1" fontId="28" fillId="14" borderId="0" xfId="0" applyNumberFormat="1" applyFont="1" applyFill="1"/>
    <xf numFmtId="1" fontId="32" fillId="14" borderId="0" xfId="0" applyNumberFormat="1" applyFont="1" applyFill="1"/>
    <xf numFmtId="2" fontId="28" fillId="14" borderId="0" xfId="0" applyNumberFormat="1" applyFont="1" applyFill="1"/>
    <xf numFmtId="2" fontId="32" fillId="14" borderId="0" xfId="0" applyNumberFormat="1" applyFont="1" applyFill="1"/>
    <xf numFmtId="0" fontId="28" fillId="14" borderId="0" xfId="0" applyFont="1" applyFill="1"/>
    <xf numFmtId="0" fontId="0" fillId="14" borderId="0" xfId="0" applyFont="1" applyFill="1"/>
    <xf numFmtId="0" fontId="29" fillId="15" borderId="3" xfId="0" applyFont="1" applyFill="1" applyBorder="1"/>
    <xf numFmtId="8" fontId="22" fillId="15" borderId="3" xfId="144" applyNumberFormat="1" applyFill="1" applyBorder="1"/>
    <xf numFmtId="165" fontId="28" fillId="14" borderId="0" xfId="0" applyNumberFormat="1" applyFont="1" applyFill="1" applyAlignment="1">
      <alignment wrapText="1"/>
    </xf>
    <xf numFmtId="165" fontId="22" fillId="0" borderId="0" xfId="144" applyNumberFormat="1" applyAlignment="1">
      <alignment wrapText="1"/>
    </xf>
    <xf numFmtId="165" fontId="6" fillId="0" borderId="0" xfId="0" applyNumberFormat="1" applyFont="1" applyAlignment="1">
      <alignment wrapText="1"/>
    </xf>
    <xf numFmtId="165" fontId="29" fillId="15" borderId="3" xfId="0" applyNumberFormat="1" applyFont="1" applyFill="1" applyBorder="1" applyAlignment="1">
      <alignment wrapText="1"/>
    </xf>
    <xf numFmtId="165" fontId="8" fillId="13" borderId="0" xfId="0" applyNumberFormat="1" applyFont="1" applyFill="1"/>
    <xf numFmtId="165" fontId="29" fillId="15" borderId="0" xfId="0" applyNumberFormat="1" applyFont="1" applyFill="1" applyBorder="1" applyAlignment="1">
      <alignment wrapText="1"/>
    </xf>
    <xf numFmtId="0" fontId="29" fillId="15" borderId="0" xfId="0" applyFont="1" applyFill="1" applyBorder="1"/>
    <xf numFmtId="0" fontId="11" fillId="0" borderId="0" xfId="114" applyFill="1"/>
    <xf numFmtId="0" fontId="6" fillId="0" borderId="0" xfId="0" applyFont="1" applyFill="1"/>
    <xf numFmtId="0" fontId="22" fillId="0" borderId="0" xfId="144" applyFill="1"/>
    <xf numFmtId="0" fontId="0" fillId="0" borderId="0" xfId="0" applyFill="1"/>
    <xf numFmtId="0" fontId="5" fillId="0" borderId="0" xfId="0" applyFont="1" applyFill="1"/>
    <xf numFmtId="0" fontId="21" fillId="0" borderId="0" xfId="143" applyFill="1" applyBorder="1"/>
    <xf numFmtId="0" fontId="6" fillId="0" borderId="0" xfId="0" applyFont="1" applyFill="1" applyBorder="1"/>
    <xf numFmtId="165" fontId="34" fillId="0" borderId="0" xfId="0" applyNumberFormat="1" applyFont="1"/>
    <xf numFmtId="49" fontId="15" fillId="4" borderId="0" xfId="0" applyNumberFormat="1" applyFont="1" applyFill="1" applyAlignment="1">
      <alignment horizontal="right" wrapText="1"/>
    </xf>
    <xf numFmtId="0" fontId="0" fillId="2" borderId="0" xfId="0" applyFill="1"/>
    <xf numFmtId="1" fontId="6" fillId="2" borderId="0" xfId="0" applyNumberFormat="1" applyFont="1" applyFill="1" applyAlignment="1">
      <alignment wrapText="1"/>
    </xf>
    <xf numFmtId="49" fontId="6" fillId="2" borderId="0" xfId="0" applyNumberFormat="1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49" fontId="22" fillId="0" borderId="0" xfId="144" applyNumberFormat="1" applyFill="1" applyAlignment="1">
      <alignment wrapText="1"/>
    </xf>
    <xf numFmtId="1" fontId="22" fillId="0" borderId="0" xfId="144" applyNumberFormat="1" applyFill="1" applyAlignment="1">
      <alignment wrapText="1"/>
    </xf>
    <xf numFmtId="165" fontId="8" fillId="0" borderId="0" xfId="0" applyNumberFormat="1" applyFont="1" applyFill="1"/>
    <xf numFmtId="49" fontId="33" fillId="17" borderId="0" xfId="0" applyNumberFormat="1" applyFont="1" applyFill="1" applyAlignment="1">
      <alignment wrapText="1"/>
    </xf>
    <xf numFmtId="49" fontId="34" fillId="17" borderId="0" xfId="144" applyNumberFormat="1" applyFont="1" applyFill="1" applyAlignment="1">
      <alignment wrapText="1"/>
    </xf>
    <xf numFmtId="1" fontId="34" fillId="17" borderId="0" xfId="144" applyNumberFormat="1" applyFont="1" applyFill="1" applyAlignment="1">
      <alignment wrapText="1"/>
    </xf>
    <xf numFmtId="165" fontId="34" fillId="17" borderId="0" xfId="0" applyNumberFormat="1" applyFont="1" applyFill="1"/>
    <xf numFmtId="49" fontId="6" fillId="17" borderId="0" xfId="0" applyNumberFormat="1" applyFont="1" applyFill="1" applyAlignment="1">
      <alignment wrapText="1"/>
    </xf>
    <xf numFmtId="165" fontId="17" fillId="17" borderId="0" xfId="0" applyNumberFormat="1" applyFont="1" applyFill="1"/>
    <xf numFmtId="165" fontId="28" fillId="17" borderId="0" xfId="0" applyNumberFormat="1" applyFont="1" applyFill="1"/>
    <xf numFmtId="165" fontId="1" fillId="17" borderId="0" xfId="144" applyNumberFormat="1" applyFont="1" applyFill="1" applyAlignment="1">
      <alignment wrapText="1"/>
    </xf>
    <xf numFmtId="165" fontId="0" fillId="17" borderId="0" xfId="144" applyNumberFormat="1" applyFont="1" applyFill="1" applyAlignment="1">
      <alignment wrapText="1"/>
    </xf>
    <xf numFmtId="1" fontId="6" fillId="0" borderId="0" xfId="0" applyNumberFormat="1" applyFont="1" applyFill="1"/>
    <xf numFmtId="1" fontId="21" fillId="0" borderId="0" xfId="143" applyNumberFormat="1" applyFill="1" applyBorder="1"/>
    <xf numFmtId="1" fontId="6" fillId="0" borderId="0" xfId="0" applyNumberFormat="1" applyFont="1" applyFill="1" applyBorder="1"/>
    <xf numFmtId="49" fontId="5" fillId="17" borderId="0" xfId="0" applyNumberFormat="1" applyFont="1" applyFill="1" applyAlignment="1">
      <alignment wrapText="1"/>
    </xf>
    <xf numFmtId="165" fontId="34" fillId="17" borderId="0" xfId="144" applyNumberFormat="1" applyFont="1" applyFill="1" applyAlignment="1">
      <alignment wrapText="1"/>
    </xf>
    <xf numFmtId="8" fontId="22" fillId="18" borderId="3" xfId="0" applyNumberFormat="1" applyFont="1" applyFill="1" applyBorder="1"/>
    <xf numFmtId="164" fontId="14" fillId="0" borderId="0" xfId="0" applyNumberFormat="1" applyFont="1" applyAlignment="1">
      <alignment wrapText="1"/>
    </xf>
    <xf numFmtId="49" fontId="38" fillId="0" borderId="0" xfId="0" applyNumberFormat="1" applyFont="1" applyAlignment="1">
      <alignment wrapText="1"/>
    </xf>
    <xf numFmtId="1" fontId="38" fillId="0" borderId="0" xfId="0" applyNumberFormat="1" applyFont="1" applyAlignment="1">
      <alignment wrapText="1"/>
    </xf>
    <xf numFmtId="0" fontId="38" fillId="0" borderId="0" xfId="0" applyFont="1" applyFill="1"/>
    <xf numFmtId="0" fontId="38" fillId="0" borderId="0" xfId="0" applyFont="1"/>
    <xf numFmtId="49" fontId="19" fillId="0" borderId="0" xfId="0" applyNumberFormat="1" applyFont="1" applyAlignment="1">
      <alignment wrapText="1"/>
    </xf>
    <xf numFmtId="1" fontId="19" fillId="0" borderId="0" xfId="0" applyNumberFormat="1" applyFont="1" applyAlignment="1">
      <alignment wrapText="1"/>
    </xf>
    <xf numFmtId="2" fontId="19" fillId="0" borderId="0" xfId="0" applyNumberFormat="1" applyFont="1" applyFill="1" applyAlignment="1">
      <alignment wrapText="1"/>
    </xf>
    <xf numFmtId="2" fontId="19" fillId="0" borderId="0" xfId="0" applyNumberFormat="1" applyFont="1" applyAlignment="1">
      <alignment wrapText="1"/>
    </xf>
    <xf numFmtId="49" fontId="38" fillId="3" borderId="0" xfId="0" applyNumberFormat="1" applyFont="1" applyFill="1" applyAlignment="1">
      <alignment wrapText="1"/>
    </xf>
    <xf numFmtId="1" fontId="38" fillId="3" borderId="0" xfId="0" applyNumberFormat="1" applyFont="1" applyFill="1" applyAlignment="1">
      <alignment wrapText="1"/>
    </xf>
    <xf numFmtId="0" fontId="38" fillId="3" borderId="0" xfId="0" applyFont="1" applyFill="1"/>
    <xf numFmtId="1" fontId="39" fillId="8" borderId="0" xfId="115" applyNumberFormat="1" applyFont="1" applyAlignment="1">
      <alignment wrapText="1"/>
    </xf>
    <xf numFmtId="0" fontId="40" fillId="6" borderId="0" xfId="113" applyFont="1"/>
    <xf numFmtId="49" fontId="41" fillId="7" borderId="0" xfId="114" applyNumberFormat="1" applyFont="1" applyAlignment="1">
      <alignment wrapText="1"/>
    </xf>
    <xf numFmtId="1" fontId="41" fillId="7" borderId="0" xfId="114" applyNumberFormat="1" applyFont="1" applyAlignment="1">
      <alignment wrapText="1"/>
    </xf>
    <xf numFmtId="0" fontId="41" fillId="0" borderId="0" xfId="114" applyFont="1" applyFill="1"/>
    <xf numFmtId="0" fontId="41" fillId="7" borderId="0" xfId="114" applyFont="1"/>
    <xf numFmtId="0" fontId="42" fillId="0" borderId="0" xfId="144" applyFont="1"/>
    <xf numFmtId="0" fontId="42" fillId="0" borderId="0" xfId="144" applyFont="1" applyFill="1"/>
    <xf numFmtId="49" fontId="33" fillId="2" borderId="0" xfId="0" applyNumberFormat="1" applyFont="1" applyFill="1" applyAlignment="1">
      <alignment horizontal="center" wrapText="1"/>
    </xf>
    <xf numFmtId="0" fontId="33" fillId="2" borderId="0" xfId="0" applyFont="1" applyFill="1" applyAlignment="1">
      <alignment horizontal="center" wrapText="1"/>
    </xf>
    <xf numFmtId="49" fontId="14" fillId="17" borderId="0" xfId="0" applyNumberFormat="1" applyFont="1" applyFill="1" applyAlignment="1">
      <alignment wrapText="1"/>
    </xf>
    <xf numFmtId="165" fontId="0" fillId="17" borderId="0" xfId="0" applyNumberFormat="1" applyFill="1"/>
    <xf numFmtId="49" fontId="14" fillId="2" borderId="0" xfId="0" applyNumberFormat="1" applyFont="1" applyFill="1" applyAlignment="1">
      <alignment wrapText="1"/>
    </xf>
    <xf numFmtId="0" fontId="33" fillId="2" borderId="0" xfId="0" applyFont="1" applyFill="1"/>
    <xf numFmtId="165" fontId="33" fillId="2" borderId="0" xfId="0" applyNumberFormat="1" applyFont="1" applyFill="1"/>
    <xf numFmtId="1" fontId="0" fillId="0" borderId="0" xfId="0" applyNumberFormat="1" applyFont="1"/>
    <xf numFmtId="1" fontId="28" fillId="0" borderId="0" xfId="0" applyNumberFormat="1" applyFont="1" applyFill="1"/>
    <xf numFmtId="3" fontId="28" fillId="0" borderId="0" xfId="0" applyNumberFormat="1" applyFont="1"/>
    <xf numFmtId="0" fontId="6" fillId="14" borderId="0" xfId="0" applyFont="1" applyFill="1"/>
    <xf numFmtId="1" fontId="6" fillId="14" borderId="0" xfId="0" applyNumberFormat="1" applyFont="1" applyFill="1"/>
    <xf numFmtId="1" fontId="21" fillId="14" borderId="0" xfId="143" applyNumberFormat="1" applyFill="1" applyBorder="1"/>
    <xf numFmtId="1" fontId="6" fillId="14" borderId="0" xfId="0" applyNumberFormat="1" applyFont="1" applyFill="1" applyBorder="1"/>
    <xf numFmtId="1" fontId="6" fillId="13" borderId="0" xfId="0" applyNumberFormat="1" applyFont="1" applyFill="1"/>
    <xf numFmtId="1" fontId="28" fillId="13" borderId="0" xfId="0" applyNumberFormat="1" applyFont="1" applyFill="1"/>
    <xf numFmtId="1" fontId="0" fillId="4" borderId="0" xfId="0" applyNumberFormat="1" applyFont="1" applyFill="1"/>
    <xf numFmtId="0" fontId="0" fillId="0" borderId="0" xfId="0" applyFont="1" applyFill="1"/>
    <xf numFmtId="0" fontId="33" fillId="0" borderId="0" xfId="0" applyFont="1"/>
    <xf numFmtId="165" fontId="1" fillId="0" borderId="0" xfId="144" applyNumberFormat="1" applyFont="1"/>
    <xf numFmtId="165" fontId="0" fillId="0" borderId="0" xfId="0" applyNumberFormat="1" applyFont="1"/>
    <xf numFmtId="165" fontId="33" fillId="0" borderId="0" xfId="0" applyNumberFormat="1" applyFont="1"/>
    <xf numFmtId="49" fontId="0" fillId="0" borderId="0" xfId="0" applyNumberFormat="1" applyFont="1" applyAlignment="1">
      <alignment wrapText="1"/>
    </xf>
    <xf numFmtId="0" fontId="43" fillId="9" borderId="0" xfId="0" applyFont="1" applyFill="1"/>
    <xf numFmtId="1" fontId="46" fillId="0" borderId="0" xfId="0" applyNumberFormat="1" applyFont="1" applyAlignment="1">
      <alignment wrapText="1"/>
    </xf>
    <xf numFmtId="164" fontId="15" fillId="4" borderId="0" xfId="0" applyNumberFormat="1" applyFont="1" applyFill="1" applyAlignment="1">
      <alignment wrapText="1"/>
    </xf>
    <xf numFmtId="49" fontId="15" fillId="15" borderId="0" xfId="0" applyNumberFormat="1" applyFont="1" applyFill="1" applyBorder="1" applyAlignment="1">
      <alignment wrapText="1"/>
    </xf>
    <xf numFmtId="165" fontId="15" fillId="15" borderId="0" xfId="0" applyNumberFormat="1" applyFont="1" applyFill="1" applyBorder="1" applyAlignment="1">
      <alignment wrapText="1"/>
    </xf>
    <xf numFmtId="164" fontId="15" fillId="15" borderId="0" xfId="0" applyNumberFormat="1" applyFont="1" applyFill="1" applyBorder="1"/>
    <xf numFmtId="6" fontId="15" fillId="15" borderId="0" xfId="0" applyNumberFormat="1" applyFont="1" applyFill="1" applyBorder="1"/>
    <xf numFmtId="49" fontId="6" fillId="15" borderId="0" xfId="0" applyNumberFormat="1" applyFont="1" applyFill="1" applyBorder="1" applyAlignment="1">
      <alignment wrapText="1"/>
    </xf>
    <xf numFmtId="165" fontId="6" fillId="15" borderId="0" xfId="0" applyNumberFormat="1" applyFont="1" applyFill="1" applyBorder="1"/>
    <xf numFmtId="0" fontId="6" fillId="15" borderId="0" xfId="0" applyFont="1" applyFill="1" applyBorder="1"/>
    <xf numFmtId="164" fontId="6" fillId="15" borderId="0" xfId="0" applyNumberFormat="1" applyFont="1" applyFill="1" applyBorder="1"/>
    <xf numFmtId="49" fontId="7" fillId="15" borderId="0" xfId="0" applyNumberFormat="1" applyFont="1" applyFill="1" applyBorder="1" applyAlignment="1">
      <alignment wrapText="1"/>
    </xf>
    <xf numFmtId="165" fontId="31" fillId="16" borderId="0" xfId="0" applyNumberFormat="1" applyFont="1" applyFill="1" applyBorder="1" applyAlignment="1">
      <alignment wrapText="1"/>
    </xf>
    <xf numFmtId="0" fontId="31" fillId="15" borderId="0" xfId="0" applyFont="1" applyFill="1" applyBorder="1"/>
    <xf numFmtId="164" fontId="7" fillId="15" borderId="0" xfId="0" applyNumberFormat="1" applyFont="1" applyFill="1" applyBorder="1"/>
    <xf numFmtId="49" fontId="15" fillId="15" borderId="5" xfId="0" applyNumberFormat="1" applyFont="1" applyFill="1" applyBorder="1" applyAlignment="1">
      <alignment wrapText="1"/>
    </xf>
    <xf numFmtId="49" fontId="15" fillId="15" borderId="6" xfId="0" applyNumberFormat="1" applyFont="1" applyFill="1" applyBorder="1" applyAlignment="1">
      <alignment wrapText="1"/>
    </xf>
    <xf numFmtId="165" fontId="15" fillId="15" borderId="6" xfId="0" applyNumberFormat="1" applyFont="1" applyFill="1" applyBorder="1" applyAlignment="1">
      <alignment wrapText="1"/>
    </xf>
    <xf numFmtId="164" fontId="15" fillId="15" borderId="6" xfId="0" applyNumberFormat="1" applyFont="1" applyFill="1" applyBorder="1"/>
    <xf numFmtId="6" fontId="15" fillId="15" borderId="6" xfId="0" applyNumberFormat="1" applyFont="1" applyFill="1" applyBorder="1"/>
    <xf numFmtId="164" fontId="15" fillId="15" borderId="7" xfId="0" applyNumberFormat="1" applyFont="1" applyFill="1" applyBorder="1"/>
    <xf numFmtId="49" fontId="47" fillId="15" borderId="8" xfId="0" applyNumberFormat="1" applyFont="1" applyFill="1" applyBorder="1" applyAlignment="1">
      <alignment wrapText="1"/>
    </xf>
    <xf numFmtId="164" fontId="15" fillId="15" borderId="9" xfId="0" applyNumberFormat="1" applyFont="1" applyFill="1" applyBorder="1"/>
    <xf numFmtId="49" fontId="6" fillId="15" borderId="8" xfId="0" applyNumberFormat="1" applyFont="1" applyFill="1" applyBorder="1" applyAlignment="1">
      <alignment wrapText="1"/>
    </xf>
    <xf numFmtId="164" fontId="6" fillId="15" borderId="9" xfId="0" applyNumberFormat="1" applyFont="1" applyFill="1" applyBorder="1"/>
    <xf numFmtId="49" fontId="29" fillId="15" borderId="10" xfId="0" applyNumberFormat="1" applyFont="1" applyFill="1" applyBorder="1" applyAlignment="1">
      <alignment wrapText="1"/>
    </xf>
    <xf numFmtId="8" fontId="22" fillId="15" borderId="11" xfId="144" applyNumberFormat="1" applyFill="1" applyBorder="1"/>
    <xf numFmtId="49" fontId="35" fillId="15" borderId="8" xfId="0" applyNumberFormat="1" applyFont="1" applyFill="1" applyBorder="1" applyAlignment="1">
      <alignment wrapText="1"/>
    </xf>
    <xf numFmtId="164" fontId="7" fillId="15" borderId="9" xfId="0" applyNumberFormat="1" applyFont="1" applyFill="1" applyBorder="1"/>
    <xf numFmtId="49" fontId="29" fillId="15" borderId="12" xfId="0" applyNumberFormat="1" applyFont="1" applyFill="1" applyBorder="1" applyAlignment="1">
      <alignment wrapText="1"/>
    </xf>
    <xf numFmtId="49" fontId="6" fillId="15" borderId="13" xfId="0" applyNumberFormat="1" applyFont="1" applyFill="1" applyBorder="1" applyAlignment="1">
      <alignment wrapText="1"/>
    </xf>
    <xf numFmtId="165" fontId="29" fillId="15" borderId="13" xfId="0" applyNumberFormat="1" applyFont="1" applyFill="1" applyBorder="1" applyAlignment="1">
      <alignment wrapText="1"/>
    </xf>
    <xf numFmtId="0" fontId="29" fillId="15" borderId="13" xfId="0" applyFont="1" applyFill="1" applyBorder="1"/>
    <xf numFmtId="8" fontId="22" fillId="15" borderId="14" xfId="144" applyNumberFormat="1" applyFill="1" applyBorder="1"/>
    <xf numFmtId="8" fontId="22" fillId="15" borderId="15" xfId="144" applyNumberFormat="1" applyFill="1" applyBorder="1"/>
    <xf numFmtId="49" fontId="1" fillId="20" borderId="0" xfId="345" applyNumberFormat="1" applyAlignment="1">
      <alignment wrapText="1"/>
    </xf>
    <xf numFmtId="0" fontId="1" fillId="20" borderId="0" xfId="345"/>
    <xf numFmtId="165" fontId="1" fillId="20" borderId="0" xfId="345" applyNumberFormat="1" applyAlignment="1">
      <alignment wrapText="1"/>
    </xf>
    <xf numFmtId="164" fontId="22" fillId="0" borderId="17" xfId="0" applyNumberFormat="1" applyFont="1" applyBorder="1"/>
    <xf numFmtId="164" fontId="22" fillId="0" borderId="17" xfId="144" applyNumberFormat="1" applyFont="1" applyBorder="1"/>
    <xf numFmtId="164" fontId="6" fillId="0" borderId="18" xfId="0" applyNumberFormat="1" applyFont="1" applyBorder="1"/>
    <xf numFmtId="49" fontId="18" fillId="0" borderId="0" xfId="0" applyNumberFormat="1" applyFont="1" applyFill="1" applyAlignment="1">
      <alignment wrapText="1"/>
    </xf>
    <xf numFmtId="49" fontId="19" fillId="0" borderId="0" xfId="0" applyNumberFormat="1" applyFont="1" applyFill="1" applyAlignment="1">
      <alignment wrapText="1"/>
    </xf>
    <xf numFmtId="1" fontId="19" fillId="0" borderId="0" xfId="0" applyNumberFormat="1" applyFont="1" applyFill="1" applyAlignment="1">
      <alignment wrapText="1"/>
    </xf>
    <xf numFmtId="0" fontId="19" fillId="0" borderId="0" xfId="0" applyFont="1" applyFill="1" applyAlignment="1">
      <alignment wrapText="1"/>
    </xf>
    <xf numFmtId="0" fontId="19" fillId="0" borderId="0" xfId="0" applyFont="1" applyFill="1"/>
    <xf numFmtId="1" fontId="14" fillId="0" borderId="0" xfId="0" applyNumberFormat="1" applyFont="1" applyFill="1" applyAlignment="1">
      <alignment wrapText="1"/>
    </xf>
    <xf numFmtId="164" fontId="14" fillId="0" borderId="0" xfId="0" applyNumberFormat="1" applyFont="1" applyFill="1"/>
    <xf numFmtId="0" fontId="0" fillId="0" borderId="4" xfId="0" applyFont="1" applyBorder="1"/>
    <xf numFmtId="0" fontId="0" fillId="0" borderId="0" xfId="0" applyFont="1" applyBorder="1"/>
    <xf numFmtId="49" fontId="20" fillId="10" borderId="1" xfId="142" applyNumberFormat="1" applyAlignment="1">
      <alignment wrapText="1"/>
    </xf>
    <xf numFmtId="165" fontId="20" fillId="10" borderId="1" xfId="142" applyNumberFormat="1"/>
    <xf numFmtId="49" fontId="6" fillId="0" borderId="20" xfId="0" applyNumberFormat="1" applyFont="1" applyBorder="1" applyAlignment="1">
      <alignment wrapText="1"/>
    </xf>
    <xf numFmtId="1" fontId="12" fillId="8" borderId="20" xfId="115" applyNumberFormat="1" applyBorder="1" applyAlignment="1">
      <alignment wrapText="1"/>
    </xf>
    <xf numFmtId="0" fontId="10" fillId="6" borderId="20" xfId="113" applyBorder="1"/>
    <xf numFmtId="0" fontId="6" fillId="0" borderId="21" xfId="0" applyFont="1" applyBorder="1"/>
    <xf numFmtId="49" fontId="6" fillId="0" borderId="22" xfId="0" applyNumberFormat="1" applyFont="1" applyBorder="1" applyAlignment="1">
      <alignment wrapText="1"/>
    </xf>
    <xf numFmtId="49" fontId="11" fillId="7" borderId="0" xfId="114" applyNumberFormat="1" applyBorder="1" applyAlignment="1">
      <alignment wrapText="1"/>
    </xf>
    <xf numFmtId="1" fontId="11" fillId="7" borderId="0" xfId="114" applyNumberFormat="1" applyBorder="1" applyAlignment="1">
      <alignment wrapText="1"/>
    </xf>
    <xf numFmtId="0" fontId="11" fillId="7" borderId="0" xfId="114" applyBorder="1"/>
    <xf numFmtId="0" fontId="6" fillId="0" borderId="23" xfId="0" applyFont="1" applyBorder="1"/>
    <xf numFmtId="49" fontId="6" fillId="0" borderId="0" xfId="0" applyNumberFormat="1" applyFont="1" applyBorder="1" applyAlignment="1">
      <alignment wrapText="1"/>
    </xf>
    <xf numFmtId="1" fontId="12" fillId="8" borderId="0" xfId="115" applyNumberFormat="1" applyBorder="1" applyAlignment="1">
      <alignment wrapText="1"/>
    </xf>
    <xf numFmtId="0" fontId="10" fillId="6" borderId="0" xfId="113" applyBorder="1"/>
    <xf numFmtId="3" fontId="10" fillId="6" borderId="0" xfId="113" applyNumberFormat="1" applyBorder="1"/>
    <xf numFmtId="49" fontId="6" fillId="0" borderId="24" xfId="0" applyNumberFormat="1" applyFont="1" applyBorder="1" applyAlignment="1">
      <alignment wrapText="1"/>
    </xf>
    <xf numFmtId="0" fontId="22" fillId="0" borderId="25" xfId="144" applyBorder="1"/>
    <xf numFmtId="0" fontId="22" fillId="0" borderId="26" xfId="144" applyBorder="1"/>
    <xf numFmtId="49" fontId="23" fillId="7" borderId="28" xfId="114" applyNumberFormat="1" applyFont="1" applyBorder="1" applyAlignment="1">
      <alignment wrapText="1"/>
    </xf>
    <xf numFmtId="1" fontId="11" fillId="7" borderId="28" xfId="114" applyNumberFormat="1" applyBorder="1" applyAlignment="1">
      <alignment wrapText="1"/>
    </xf>
    <xf numFmtId="0" fontId="0" fillId="0" borderId="28" xfId="0" applyBorder="1"/>
    <xf numFmtId="0" fontId="5" fillId="0" borderId="29" xfId="0" applyFont="1" applyBorder="1"/>
    <xf numFmtId="49" fontId="6" fillId="0" borderId="30" xfId="0" applyNumberFormat="1" applyFont="1" applyBorder="1" applyAlignment="1">
      <alignment wrapText="1"/>
    </xf>
    <xf numFmtId="49" fontId="45" fillId="7" borderId="0" xfId="114" applyNumberFormat="1" applyFont="1" applyBorder="1" applyAlignment="1">
      <alignment wrapText="1"/>
    </xf>
    <xf numFmtId="0" fontId="6" fillId="0" borderId="31" xfId="0" applyFont="1" applyBorder="1"/>
    <xf numFmtId="6" fontId="6" fillId="0" borderId="31" xfId="0" applyNumberFormat="1" applyFont="1" applyBorder="1"/>
    <xf numFmtId="49" fontId="5" fillId="0" borderId="30" xfId="0" applyNumberFormat="1" applyFont="1" applyBorder="1" applyAlignment="1">
      <alignment wrapText="1"/>
    </xf>
    <xf numFmtId="0" fontId="22" fillId="0" borderId="0" xfId="144" applyBorder="1"/>
    <xf numFmtId="0" fontId="36" fillId="0" borderId="31" xfId="144" applyFont="1" applyBorder="1"/>
    <xf numFmtId="0" fontId="0" fillId="12" borderId="0" xfId="0" applyFill="1" applyBorder="1"/>
    <xf numFmtId="1" fontId="0" fillId="12" borderId="0" xfId="0" applyNumberFormat="1" applyFill="1" applyBorder="1"/>
    <xf numFmtId="0" fontId="22" fillId="0" borderId="31" xfId="144" applyFill="1" applyBorder="1"/>
    <xf numFmtId="49" fontId="23" fillId="7" borderId="0" xfId="114" applyNumberFormat="1" applyFont="1" applyBorder="1" applyAlignment="1">
      <alignment wrapText="1"/>
    </xf>
    <xf numFmtId="0" fontId="0" fillId="0" borderId="0" xfId="0" applyBorder="1"/>
    <xf numFmtId="49" fontId="25" fillId="8" borderId="0" xfId="115" applyNumberFormat="1" applyFont="1" applyBorder="1" applyAlignment="1">
      <alignment wrapText="1"/>
    </xf>
    <xf numFmtId="49" fontId="6" fillId="0" borderId="32" xfId="0" applyNumberFormat="1" applyFont="1" applyBorder="1" applyAlignment="1">
      <alignment wrapText="1"/>
    </xf>
    <xf numFmtId="49" fontId="22" fillId="2" borderId="33" xfId="144" applyNumberFormat="1" applyFill="1" applyBorder="1" applyAlignment="1">
      <alignment wrapText="1"/>
    </xf>
    <xf numFmtId="1" fontId="22" fillId="8" borderId="33" xfId="144" applyNumberFormat="1" applyFill="1" applyBorder="1" applyAlignment="1">
      <alignment wrapText="1"/>
    </xf>
    <xf numFmtId="0" fontId="22" fillId="6" borderId="33" xfId="144" applyFill="1" applyBorder="1"/>
    <xf numFmtId="0" fontId="22" fillId="0" borderId="34" xfId="144" applyBorder="1"/>
    <xf numFmtId="49" fontId="5" fillId="0" borderId="5" xfId="0" applyNumberFormat="1" applyFont="1" applyBorder="1" applyAlignment="1">
      <alignment wrapText="1"/>
    </xf>
    <xf numFmtId="49" fontId="6" fillId="0" borderId="6" xfId="0" applyNumberFormat="1" applyFont="1" applyBorder="1" applyAlignment="1">
      <alignment wrapText="1"/>
    </xf>
    <xf numFmtId="1" fontId="12" fillId="8" borderId="6" xfId="115" applyNumberFormat="1" applyBorder="1" applyAlignment="1">
      <alignment wrapText="1"/>
    </xf>
    <xf numFmtId="0" fontId="10" fillId="6" borderId="6" xfId="113" applyBorder="1"/>
    <xf numFmtId="0" fontId="6" fillId="0" borderId="7" xfId="0" applyFont="1" applyBorder="1"/>
    <xf numFmtId="49" fontId="6" fillId="0" borderId="8" xfId="0" applyNumberFormat="1" applyFont="1" applyBorder="1" applyAlignment="1">
      <alignment wrapText="1"/>
    </xf>
    <xf numFmtId="0" fontId="29" fillId="0" borderId="0" xfId="0" applyFont="1" applyBorder="1"/>
    <xf numFmtId="1" fontId="12" fillId="8" borderId="0" xfId="115" applyNumberFormat="1" applyBorder="1"/>
    <xf numFmtId="0" fontId="6" fillId="0" borderId="9" xfId="0" applyFont="1" applyBorder="1"/>
    <xf numFmtId="1" fontId="22" fillId="0" borderId="0" xfId="144" applyNumberFormat="1" applyBorder="1"/>
    <xf numFmtId="0" fontId="36" fillId="0" borderId="9" xfId="144" applyFont="1" applyBorder="1"/>
    <xf numFmtId="49" fontId="5" fillId="0" borderId="8" xfId="0" applyNumberFormat="1" applyFont="1" applyBorder="1" applyAlignment="1">
      <alignment wrapText="1"/>
    </xf>
    <xf numFmtId="0" fontId="36" fillId="0" borderId="9" xfId="144" applyFont="1" applyFill="1" applyBorder="1"/>
    <xf numFmtId="0" fontId="37" fillId="0" borderId="9" xfId="0" applyFont="1" applyFill="1" applyBorder="1"/>
    <xf numFmtId="49" fontId="22" fillId="2" borderId="0" xfId="144" applyNumberFormat="1" applyFill="1" applyBorder="1" applyAlignment="1">
      <alignment wrapText="1"/>
    </xf>
    <xf numFmtId="1" fontId="22" fillId="8" borderId="0" xfId="144" applyNumberFormat="1" applyFill="1" applyBorder="1" applyAlignment="1">
      <alignment wrapText="1"/>
    </xf>
    <xf numFmtId="0" fontId="22" fillId="6" borderId="0" xfId="144" applyFill="1" applyBorder="1"/>
    <xf numFmtId="49" fontId="6" fillId="0" borderId="35" xfId="0" applyNumberFormat="1" applyFont="1" applyBorder="1" applyAlignment="1">
      <alignment wrapText="1"/>
    </xf>
    <xf numFmtId="0" fontId="0" fillId="0" borderId="13" xfId="0" applyBorder="1"/>
    <xf numFmtId="1" fontId="0" fillId="0" borderId="13" xfId="0" applyNumberFormat="1" applyBorder="1"/>
    <xf numFmtId="0" fontId="22" fillId="0" borderId="36" xfId="144" applyFill="1" applyBorder="1"/>
    <xf numFmtId="49" fontId="5" fillId="0" borderId="37" xfId="0" applyNumberFormat="1" applyFont="1" applyBorder="1" applyAlignment="1">
      <alignment wrapText="1"/>
    </xf>
    <xf numFmtId="49" fontId="6" fillId="0" borderId="38" xfId="0" applyNumberFormat="1" applyFont="1" applyFill="1" applyBorder="1" applyAlignment="1">
      <alignment wrapText="1"/>
    </xf>
    <xf numFmtId="1" fontId="0" fillId="0" borderId="38" xfId="0" applyNumberFormat="1" applyFill="1" applyBorder="1"/>
    <xf numFmtId="0" fontId="0" fillId="0" borderId="38" xfId="0" applyFill="1" applyBorder="1"/>
    <xf numFmtId="0" fontId="6" fillId="0" borderId="39" xfId="0" applyFont="1" applyFill="1" applyBorder="1"/>
    <xf numFmtId="49" fontId="6" fillId="0" borderId="40" xfId="0" applyNumberFormat="1" applyFont="1" applyBorder="1" applyAlignment="1">
      <alignment wrapText="1"/>
    </xf>
    <xf numFmtId="1" fontId="13" fillId="8" borderId="0" xfId="115" applyNumberFormat="1" applyFont="1" applyBorder="1" applyAlignment="1">
      <alignment wrapText="1"/>
    </xf>
    <xf numFmtId="0" fontId="16" fillId="6" borderId="0" xfId="113" applyFont="1" applyBorder="1"/>
    <xf numFmtId="0" fontId="6" fillId="0" borderId="41" xfId="0" applyFont="1" applyBorder="1"/>
    <xf numFmtId="49" fontId="44" fillId="7" borderId="0" xfId="114" applyNumberFormat="1" applyFont="1" applyBorder="1" applyAlignment="1">
      <alignment wrapText="1"/>
    </xf>
    <xf numFmtId="49" fontId="7" fillId="0" borderId="40" xfId="0" applyNumberFormat="1" applyFont="1" applyBorder="1" applyAlignment="1">
      <alignment wrapText="1"/>
    </xf>
    <xf numFmtId="0" fontId="5" fillId="0" borderId="41" xfId="0" applyFont="1" applyFill="1" applyBorder="1"/>
    <xf numFmtId="0" fontId="5" fillId="0" borderId="41" xfId="0" applyFont="1" applyBorder="1"/>
    <xf numFmtId="49" fontId="5" fillId="0" borderId="42" xfId="0" applyNumberFormat="1" applyFont="1" applyBorder="1" applyAlignment="1">
      <alignment wrapText="1"/>
    </xf>
    <xf numFmtId="49" fontId="22" fillId="0" borderId="43" xfId="144" applyNumberFormat="1" applyBorder="1" applyAlignment="1">
      <alignment wrapText="1"/>
    </xf>
    <xf numFmtId="0" fontId="22" fillId="0" borderId="43" xfId="144" applyBorder="1"/>
    <xf numFmtId="0" fontId="22" fillId="0" borderId="44" xfId="144" applyBorder="1"/>
    <xf numFmtId="49" fontId="5" fillId="0" borderId="45" xfId="0" applyNumberFormat="1" applyFont="1" applyBorder="1" applyAlignment="1">
      <alignment wrapText="1"/>
    </xf>
    <xf numFmtId="49" fontId="6" fillId="0" borderId="46" xfId="0" applyNumberFormat="1" applyFont="1" applyFill="1" applyBorder="1" applyAlignment="1">
      <alignment wrapText="1"/>
    </xf>
    <xf numFmtId="1" fontId="0" fillId="0" borderId="46" xfId="0" applyNumberFormat="1" applyFill="1" applyBorder="1"/>
    <xf numFmtId="0" fontId="0" fillId="0" borderId="46" xfId="0" applyFill="1" applyBorder="1"/>
    <xf numFmtId="0" fontId="6" fillId="0" borderId="47" xfId="0" applyFont="1" applyFill="1" applyBorder="1"/>
    <xf numFmtId="49" fontId="6" fillId="0" borderId="48" xfId="0" applyNumberFormat="1" applyFont="1" applyBorder="1" applyAlignment="1">
      <alignment wrapText="1"/>
    </xf>
    <xf numFmtId="0" fontId="9" fillId="5" borderId="49" xfId="0" applyFont="1" applyFill="1" applyBorder="1"/>
    <xf numFmtId="0" fontId="6" fillId="0" borderId="49" xfId="0" applyFont="1" applyBorder="1"/>
    <xf numFmtId="0" fontId="10" fillId="19" borderId="49" xfId="0" applyFont="1" applyFill="1" applyBorder="1"/>
    <xf numFmtId="3" fontId="11" fillId="7" borderId="0" xfId="114" applyNumberFormat="1" applyBorder="1"/>
    <xf numFmtId="1" fontId="26" fillId="8" borderId="0" xfId="115" applyNumberFormat="1" applyFont="1" applyBorder="1" applyAlignment="1">
      <alignment wrapText="1"/>
    </xf>
    <xf numFmtId="49" fontId="24" fillId="7" borderId="0" xfId="114" applyNumberFormat="1" applyFont="1" applyBorder="1" applyAlignment="1">
      <alignment wrapText="1"/>
    </xf>
    <xf numFmtId="0" fontId="9" fillId="0" borderId="49" xfId="0" applyFont="1" applyBorder="1"/>
    <xf numFmtId="49" fontId="27" fillId="8" borderId="0" xfId="115" applyNumberFormat="1" applyFont="1" applyBorder="1" applyAlignment="1">
      <alignment wrapText="1"/>
    </xf>
    <xf numFmtId="1" fontId="27" fillId="8" borderId="0" xfId="115" applyNumberFormat="1" applyFont="1" applyBorder="1" applyAlignment="1">
      <alignment wrapText="1"/>
    </xf>
    <xf numFmtId="49" fontId="6" fillId="0" borderId="50" xfId="0" applyNumberFormat="1" applyFont="1" applyBorder="1" applyAlignment="1">
      <alignment wrapText="1"/>
    </xf>
    <xf numFmtId="0" fontId="22" fillId="0" borderId="51" xfId="144" applyBorder="1"/>
    <xf numFmtId="1" fontId="22" fillId="0" borderId="51" xfId="144" applyNumberFormat="1" applyBorder="1"/>
    <xf numFmtId="2" fontId="22" fillId="0" borderId="51" xfId="144" applyNumberFormat="1" applyBorder="1"/>
    <xf numFmtId="0" fontId="22" fillId="0" borderId="52" xfId="144" applyBorder="1"/>
    <xf numFmtId="2" fontId="22" fillId="0" borderId="0" xfId="144" applyNumberFormat="1" applyBorder="1"/>
    <xf numFmtId="49" fontId="6" fillId="0" borderId="53" xfId="0" applyNumberFormat="1" applyFont="1" applyBorder="1" applyAlignment="1">
      <alignment wrapText="1"/>
    </xf>
    <xf numFmtId="0" fontId="0" fillId="0" borderId="54" xfId="0" applyFill="1" applyBorder="1"/>
    <xf numFmtId="1" fontId="0" fillId="0" borderId="54" xfId="0" applyNumberFormat="1" applyFill="1" applyBorder="1"/>
    <xf numFmtId="0" fontId="6" fillId="0" borderId="55" xfId="0" applyFont="1" applyFill="1" applyBorder="1"/>
    <xf numFmtId="49" fontId="6" fillId="0" borderId="56" xfId="0" applyNumberFormat="1" applyFont="1" applyBorder="1" applyAlignment="1">
      <alignment wrapText="1"/>
    </xf>
    <xf numFmtId="0" fontId="10" fillId="6" borderId="57" xfId="113" applyBorder="1"/>
    <xf numFmtId="0" fontId="12" fillId="8" borderId="0" xfId="115" applyBorder="1"/>
    <xf numFmtId="49" fontId="6" fillId="0" borderId="58" xfId="0" applyNumberFormat="1" applyFont="1" applyBorder="1" applyAlignment="1">
      <alignment wrapText="1"/>
    </xf>
    <xf numFmtId="49" fontId="6" fillId="0" borderId="59" xfId="0" applyNumberFormat="1" applyFont="1" applyBorder="1" applyAlignment="1">
      <alignment wrapText="1"/>
    </xf>
    <xf numFmtId="1" fontId="22" fillId="0" borderId="59" xfId="144" applyNumberFormat="1" applyBorder="1"/>
    <xf numFmtId="2" fontId="22" fillId="0" borderId="59" xfId="144" applyNumberFormat="1" applyBorder="1"/>
    <xf numFmtId="0" fontId="10" fillId="6" borderId="60" xfId="113" applyBorder="1"/>
    <xf numFmtId="49" fontId="5" fillId="0" borderId="61" xfId="0" applyNumberFormat="1" applyFont="1" applyBorder="1" applyAlignment="1">
      <alignment wrapText="1"/>
    </xf>
    <xf numFmtId="49" fontId="11" fillId="7" borderId="62" xfId="114" applyNumberFormat="1" applyBorder="1" applyAlignment="1">
      <alignment wrapText="1"/>
    </xf>
    <xf numFmtId="1" fontId="11" fillId="7" borderId="62" xfId="114" applyNumberFormat="1" applyBorder="1" applyAlignment="1">
      <alignment wrapText="1"/>
    </xf>
    <xf numFmtId="0" fontId="11" fillId="7" borderId="62" xfId="114" applyBorder="1"/>
    <xf numFmtId="0" fontId="22" fillId="0" borderId="63" xfId="114" applyFont="1" applyFill="1" applyBorder="1"/>
    <xf numFmtId="49" fontId="5" fillId="0" borderId="64" xfId="0" applyNumberFormat="1" applyFont="1" applyBorder="1" applyAlignment="1">
      <alignment wrapText="1"/>
    </xf>
    <xf numFmtId="0" fontId="22" fillId="0" borderId="65" xfId="114" applyFont="1" applyFill="1" applyBorder="1"/>
    <xf numFmtId="49" fontId="6" fillId="0" borderId="66" xfId="0" applyNumberFormat="1" applyFont="1" applyBorder="1" applyAlignment="1">
      <alignment wrapText="1"/>
    </xf>
    <xf numFmtId="49" fontId="22" fillId="0" borderId="67" xfId="144" applyNumberFormat="1" applyBorder="1" applyAlignment="1">
      <alignment wrapText="1"/>
    </xf>
    <xf numFmtId="1" fontId="22" fillId="0" borderId="67" xfId="0" applyNumberFormat="1" applyFont="1" applyBorder="1"/>
    <xf numFmtId="2" fontId="22" fillId="0" borderId="68" xfId="144" applyNumberFormat="1" applyBorder="1"/>
    <xf numFmtId="49" fontId="15" fillId="0" borderId="19" xfId="0" applyNumberFormat="1" applyFont="1" applyBorder="1" applyAlignment="1">
      <alignment wrapText="1"/>
    </xf>
    <xf numFmtId="49" fontId="14" fillId="0" borderId="27" xfId="0" applyNumberFormat="1" applyFont="1" applyBorder="1" applyAlignment="1">
      <alignment wrapText="1"/>
    </xf>
    <xf numFmtId="49" fontId="6" fillId="0" borderId="42" xfId="0" applyNumberFormat="1" applyFont="1" applyBorder="1" applyAlignment="1">
      <alignment wrapText="1"/>
    </xf>
    <xf numFmtId="49" fontId="22" fillId="2" borderId="43" xfId="144" applyNumberFormat="1" applyFill="1" applyBorder="1" applyAlignment="1">
      <alignment wrapText="1"/>
    </xf>
    <xf numFmtId="1" fontId="22" fillId="8" borderId="43" xfId="144" applyNumberFormat="1" applyFill="1" applyBorder="1" applyAlignment="1">
      <alignment wrapText="1"/>
    </xf>
    <xf numFmtId="0" fontId="22" fillId="6" borderId="43" xfId="144" applyFill="1" applyBorder="1"/>
    <xf numFmtId="49" fontId="6" fillId="0" borderId="38" xfId="0" applyNumberFormat="1" applyFont="1" applyBorder="1" applyAlignment="1">
      <alignment wrapText="1"/>
    </xf>
    <xf numFmtId="1" fontId="12" fillId="8" borderId="38" xfId="115" applyNumberFormat="1" applyBorder="1" applyAlignment="1">
      <alignment wrapText="1"/>
    </xf>
    <xf numFmtId="0" fontId="10" fillId="6" borderId="38" xfId="113" applyBorder="1"/>
    <xf numFmtId="0" fontId="5" fillId="0" borderId="39" xfId="0" applyFont="1" applyFill="1" applyBorder="1"/>
    <xf numFmtId="49" fontId="6" fillId="0" borderId="69" xfId="0" applyNumberFormat="1" applyFont="1" applyBorder="1" applyAlignment="1">
      <alignment wrapText="1"/>
    </xf>
    <xf numFmtId="0" fontId="0" fillId="12" borderId="69" xfId="0" applyFill="1" applyBorder="1"/>
    <xf numFmtId="1" fontId="0" fillId="12" borderId="69" xfId="0" applyNumberFormat="1" applyFill="1" applyBorder="1"/>
    <xf numFmtId="0" fontId="22" fillId="0" borderId="69" xfId="144" applyFill="1" applyBorder="1"/>
    <xf numFmtId="1" fontId="22" fillId="0" borderId="43" xfId="144" applyNumberFormat="1" applyBorder="1"/>
    <xf numFmtId="165" fontId="10" fillId="6" borderId="0" xfId="113" applyNumberFormat="1"/>
    <xf numFmtId="165" fontId="10" fillId="6" borderId="1" xfId="113" applyNumberFormat="1" applyBorder="1"/>
    <xf numFmtId="0" fontId="1" fillId="2" borderId="0" xfId="113" applyFont="1" applyFill="1" applyAlignment="1">
      <alignment horizontal="center" wrapText="1"/>
    </xf>
    <xf numFmtId="0" fontId="33" fillId="0" borderId="0" xfId="0" applyFont="1" applyFill="1"/>
    <xf numFmtId="165" fontId="33" fillId="0" borderId="0" xfId="0" applyNumberFormat="1" applyFont="1" applyFill="1"/>
    <xf numFmtId="0" fontId="17" fillId="0" borderId="16" xfId="0" applyFont="1" applyBorder="1" applyAlignment="1">
      <alignment horizontal="center"/>
    </xf>
  </cellXfs>
  <cellStyles count="346">
    <cellStyle name="20% - Accent1" xfId="345" builtinId="30"/>
    <cellStyle name="Bad" xfId="114" builtinId="27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Good" xfId="113" builtinId="2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Input" xfId="142" builtinId="20"/>
    <cellStyle name="Neutral" xfId="115" builtinId="28"/>
    <cellStyle name="Normal" xfId="0" builtinId="0"/>
    <cellStyle name="Output" xfId="143" builtinId="21"/>
    <cellStyle name="Warning Text" xfId="144" builtinId="1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3"/>
  <sheetViews>
    <sheetView topLeftCell="A59" zoomScale="197" zoomScaleNormal="197" zoomScalePageLayoutView="150" workbookViewId="0">
      <selection activeCell="E77" sqref="E77"/>
    </sheetView>
  </sheetViews>
  <sheetFormatPr baseColWidth="10" defaultRowHeight="12" x14ac:dyDescent="0.15"/>
  <cols>
    <col min="1" max="1" width="6.6640625" style="3" customWidth="1"/>
    <col min="2" max="3" width="18.1640625" style="2" customWidth="1"/>
    <col min="4" max="4" width="21.33203125" style="41" customWidth="1"/>
    <col min="5" max="5" width="17.6640625" style="3" customWidth="1"/>
    <col min="6" max="6" width="19.6640625" style="3" customWidth="1"/>
    <col min="7" max="7" width="16.83203125" style="3" customWidth="1"/>
    <col min="8" max="8" width="15.83203125" style="3" customWidth="1"/>
    <col min="9" max="9" width="8.1640625" style="3" customWidth="1"/>
    <col min="10" max="10" width="15" style="3" customWidth="1"/>
    <col min="11" max="12" width="10.83203125" style="48"/>
    <col min="13" max="13" width="10.83203125" style="3"/>
    <col min="14" max="14" width="21.83203125" style="3" customWidth="1"/>
    <col min="15" max="15" width="16" style="3" customWidth="1"/>
    <col min="16" max="16384" width="10.83203125" style="3"/>
  </cols>
  <sheetData>
    <row r="1" spans="1:15" ht="41" x14ac:dyDescent="0.25">
      <c r="A1" s="1" t="s">
        <v>0</v>
      </c>
      <c r="C1" s="2" t="s">
        <v>219</v>
      </c>
      <c r="D1" s="167" t="s">
        <v>245</v>
      </c>
      <c r="E1" s="93"/>
      <c r="F1" s="3" t="s">
        <v>278</v>
      </c>
      <c r="I1" s="153"/>
      <c r="J1" s="25" t="s">
        <v>235</v>
      </c>
    </row>
    <row r="2" spans="1:15" ht="27" x14ac:dyDescent="0.2">
      <c r="B2" s="6" t="s">
        <v>22</v>
      </c>
      <c r="C2" s="6"/>
      <c r="D2" s="47" t="s">
        <v>100</v>
      </c>
      <c r="E2" s="47" t="s">
        <v>100</v>
      </c>
      <c r="F2" s="26" t="s">
        <v>279</v>
      </c>
      <c r="G2" s="26"/>
      <c r="H2" s="49" t="s">
        <v>202</v>
      </c>
      <c r="I2" s="154" t="s">
        <v>203</v>
      </c>
      <c r="J2" s="49" t="s">
        <v>204</v>
      </c>
      <c r="K2" s="49" t="s">
        <v>205</v>
      </c>
      <c r="O2" s="92"/>
    </row>
    <row r="3" spans="1:15" ht="17" thickBot="1" x14ac:dyDescent="0.25">
      <c r="C3" s="4"/>
      <c r="D3" s="42" t="s">
        <v>160</v>
      </c>
      <c r="E3" s="93" t="s">
        <v>231</v>
      </c>
      <c r="F3" s="5" t="s">
        <v>8</v>
      </c>
      <c r="G3" s="5"/>
      <c r="H3" s="5"/>
      <c r="I3" s="153"/>
      <c r="J3" s="5"/>
      <c r="K3" s="157"/>
      <c r="M3"/>
      <c r="N3"/>
    </row>
    <row r="4" spans="1:15" ht="17" thickTop="1" x14ac:dyDescent="0.2">
      <c r="B4" s="338" t="s">
        <v>1</v>
      </c>
      <c r="C4" s="218" t="s">
        <v>2</v>
      </c>
      <c r="D4" s="219">
        <v>5000</v>
      </c>
      <c r="E4" s="219">
        <v>5000</v>
      </c>
      <c r="F4" s="220">
        <v>59000</v>
      </c>
      <c r="G4" s="221"/>
      <c r="H4"/>
      <c r="I4" s="75"/>
      <c r="J4"/>
      <c r="K4" s="157"/>
      <c r="M4"/>
      <c r="N4"/>
    </row>
    <row r="5" spans="1:15" ht="17" x14ac:dyDescent="0.2">
      <c r="B5" s="222"/>
      <c r="C5" s="223" t="s">
        <v>258</v>
      </c>
      <c r="D5" s="224">
        <v>32000</v>
      </c>
      <c r="E5" s="224">
        <v>32000</v>
      </c>
      <c r="F5" s="225">
        <v>13000</v>
      </c>
      <c r="G5" s="226"/>
      <c r="H5">
        <v>32000</v>
      </c>
      <c r="I5" s="75">
        <v>1300</v>
      </c>
      <c r="J5"/>
      <c r="K5" s="157"/>
      <c r="M5"/>
      <c r="N5"/>
    </row>
    <row r="6" spans="1:15" ht="16" x14ac:dyDescent="0.2">
      <c r="B6" s="222"/>
      <c r="C6" s="227" t="s">
        <v>4</v>
      </c>
      <c r="D6" s="228">
        <v>5000</v>
      </c>
      <c r="E6" s="228">
        <v>5000</v>
      </c>
      <c r="F6" s="229">
        <v>29000</v>
      </c>
      <c r="G6" s="226"/>
      <c r="H6" s="48"/>
      <c r="I6" s="154"/>
      <c r="J6" s="48"/>
      <c r="K6" s="157"/>
    </row>
    <row r="7" spans="1:15" ht="17" x14ac:dyDescent="0.2">
      <c r="B7" s="222"/>
      <c r="C7" s="223" t="s">
        <v>258</v>
      </c>
      <c r="D7" s="224">
        <v>35000</v>
      </c>
      <c r="E7" s="224">
        <v>35000</v>
      </c>
      <c r="F7" s="225">
        <v>37000</v>
      </c>
      <c r="G7" s="226"/>
      <c r="H7">
        <v>35000</v>
      </c>
      <c r="I7" s="75">
        <v>37</v>
      </c>
      <c r="J7"/>
      <c r="K7" s="157"/>
      <c r="M7"/>
      <c r="N7"/>
    </row>
    <row r="8" spans="1:15" ht="16" x14ac:dyDescent="0.2">
      <c r="B8" s="222"/>
      <c r="C8" s="227" t="s">
        <v>5</v>
      </c>
      <c r="D8" s="228">
        <v>2500</v>
      </c>
      <c r="E8" s="228">
        <v>2500</v>
      </c>
      <c r="F8" s="229">
        <v>7200</v>
      </c>
      <c r="G8" s="226"/>
      <c r="H8"/>
      <c r="I8" s="75"/>
      <c r="J8"/>
      <c r="K8" s="157"/>
      <c r="M8"/>
      <c r="N8"/>
    </row>
    <row r="9" spans="1:15" ht="17" x14ac:dyDescent="0.2">
      <c r="B9" s="222"/>
      <c r="C9" s="223" t="s">
        <v>258</v>
      </c>
      <c r="D9" s="224">
        <v>43000</v>
      </c>
      <c r="E9" s="224">
        <v>43000</v>
      </c>
      <c r="F9" s="225">
        <v>8000</v>
      </c>
      <c r="G9" s="226"/>
      <c r="H9" s="150">
        <v>43000</v>
      </c>
      <c r="I9" s="77">
        <v>8000</v>
      </c>
      <c r="J9" s="48"/>
      <c r="K9" s="157"/>
    </row>
    <row r="10" spans="1:15" ht="16" x14ac:dyDescent="0.2">
      <c r="B10" s="222"/>
      <c r="C10" s="227" t="s">
        <v>6</v>
      </c>
      <c r="D10" s="228">
        <v>25000</v>
      </c>
      <c r="E10" s="228">
        <v>25000</v>
      </c>
      <c r="F10" s="229">
        <v>50000</v>
      </c>
      <c r="G10" s="226"/>
      <c r="H10" s="48"/>
      <c r="I10" s="154"/>
      <c r="J10" s="48"/>
      <c r="K10" s="157"/>
    </row>
    <row r="11" spans="1:15" ht="16" x14ac:dyDescent="0.2">
      <c r="B11" s="222"/>
      <c r="C11" s="227" t="s">
        <v>206</v>
      </c>
      <c r="D11" s="228">
        <v>2500</v>
      </c>
      <c r="E11" s="228">
        <v>2500</v>
      </c>
      <c r="F11" s="230">
        <f>F12</f>
        <v>50000</v>
      </c>
      <c r="G11" s="226" t="s">
        <v>250</v>
      </c>
      <c r="H11" s="48"/>
      <c r="I11" s="154"/>
      <c r="J11" s="48"/>
      <c r="K11" s="157"/>
    </row>
    <row r="12" spans="1:15" ht="16" x14ac:dyDescent="0.2">
      <c r="B12" s="222" t="s">
        <v>184</v>
      </c>
      <c r="C12" s="227" t="s">
        <v>238</v>
      </c>
      <c r="D12" s="228">
        <v>6300</v>
      </c>
      <c r="E12" s="228">
        <v>6300</v>
      </c>
      <c r="F12" s="229">
        <f>SUM(500*100)</f>
        <v>50000</v>
      </c>
      <c r="G12" s="226" t="s">
        <v>250</v>
      </c>
      <c r="H12" s="48"/>
      <c r="I12" s="154"/>
      <c r="J12" s="48"/>
      <c r="K12" s="157"/>
    </row>
    <row r="13" spans="1:15" ht="16" x14ac:dyDescent="0.2">
      <c r="B13" s="222"/>
      <c r="C13" s="227" t="s">
        <v>11</v>
      </c>
      <c r="D13" s="228">
        <v>4000</v>
      </c>
      <c r="E13" s="228">
        <v>4000</v>
      </c>
      <c r="F13" s="229">
        <f>SUM(500*100)</f>
        <v>50000</v>
      </c>
      <c r="G13" s="226" t="s">
        <v>250</v>
      </c>
      <c r="H13" s="48"/>
      <c r="I13" s="154"/>
      <c r="J13" s="48"/>
      <c r="K13" s="157"/>
    </row>
    <row r="14" spans="1:15" ht="17" x14ac:dyDescent="0.2">
      <c r="B14" s="222"/>
      <c r="C14" s="223" t="s">
        <v>259</v>
      </c>
      <c r="D14" s="224">
        <v>30000</v>
      </c>
      <c r="E14" s="224">
        <v>30000</v>
      </c>
      <c r="F14" s="225">
        <v>30000</v>
      </c>
      <c r="G14" s="226"/>
      <c r="H14" s="64">
        <v>20000</v>
      </c>
      <c r="I14" s="77">
        <v>5000</v>
      </c>
      <c r="J14" s="48"/>
      <c r="K14" s="157"/>
    </row>
    <row r="15" spans="1:15" ht="17" thickBot="1" x14ac:dyDescent="0.25">
      <c r="B15" s="231"/>
      <c r="C15" s="232" t="s">
        <v>9</v>
      </c>
      <c r="D15" s="232">
        <f>SUM(D4:D14)</f>
        <v>190300</v>
      </c>
      <c r="E15" s="232">
        <f>SUM(E4:E14)</f>
        <v>190300</v>
      </c>
      <c r="F15" s="232">
        <f>SUM(F4:F14)</f>
        <v>383200</v>
      </c>
      <c r="G15" s="233">
        <v>341200</v>
      </c>
      <c r="H15" s="48"/>
      <c r="I15" s="154"/>
      <c r="J15" s="48"/>
      <c r="K15" s="157"/>
    </row>
    <row r="16" spans="1:15" ht="18" thickTop="1" thickBot="1" x14ac:dyDescent="0.25">
      <c r="C16" s="54"/>
      <c r="D16" s="55"/>
      <c r="E16" s="55"/>
      <c r="F16" s="54"/>
      <c r="G16" s="94"/>
      <c r="H16" s="117"/>
      <c r="I16" s="154"/>
      <c r="J16" s="117"/>
      <c r="K16" s="157"/>
      <c r="M16" s="93"/>
      <c r="N16" s="93"/>
    </row>
    <row r="17" spans="2:15" ht="17" thickTop="1" x14ac:dyDescent="0.2">
      <c r="B17" s="339" t="s">
        <v>114</v>
      </c>
      <c r="C17" s="234" t="s">
        <v>260</v>
      </c>
      <c r="D17" s="235">
        <v>60000</v>
      </c>
      <c r="E17" s="235">
        <v>60000</v>
      </c>
      <c r="F17" s="236">
        <v>0</v>
      </c>
      <c r="G17" s="237"/>
      <c r="H17" s="64">
        <v>70000</v>
      </c>
      <c r="I17" s="154"/>
      <c r="J17" s="48"/>
      <c r="K17" s="157"/>
    </row>
    <row r="18" spans="2:15" ht="16" x14ac:dyDescent="0.2">
      <c r="B18" s="238" t="s">
        <v>145</v>
      </c>
      <c r="C18" s="239" t="s">
        <v>236</v>
      </c>
      <c r="D18" s="224">
        <v>20000</v>
      </c>
      <c r="E18" s="224">
        <v>20000</v>
      </c>
      <c r="F18" s="225">
        <f>SUM(500*100)</f>
        <v>50000</v>
      </c>
      <c r="G18" s="240"/>
      <c r="H18" s="48"/>
      <c r="I18" s="154"/>
      <c r="J18" s="48"/>
      <c r="K18" s="157"/>
    </row>
    <row r="19" spans="2:15" ht="16" x14ac:dyDescent="0.2">
      <c r="B19" s="238" t="s">
        <v>239</v>
      </c>
      <c r="C19" s="239" t="s">
        <v>261</v>
      </c>
      <c r="D19" s="224">
        <v>20000</v>
      </c>
      <c r="E19" s="224">
        <v>20000</v>
      </c>
      <c r="F19" s="225">
        <v>0</v>
      </c>
      <c r="G19" s="240"/>
      <c r="H19" s="48"/>
      <c r="I19" s="154"/>
      <c r="J19" s="48"/>
      <c r="K19" s="157"/>
    </row>
    <row r="20" spans="2:15" ht="16" x14ac:dyDescent="0.2">
      <c r="B20" s="238" t="s">
        <v>147</v>
      </c>
      <c r="C20" s="227" t="s">
        <v>146</v>
      </c>
      <c r="D20" s="228">
        <v>2500</v>
      </c>
      <c r="E20" s="228">
        <v>2500</v>
      </c>
      <c r="F20" s="229">
        <f>SUM(200*100)</f>
        <v>20000</v>
      </c>
      <c r="G20" s="241" t="s">
        <v>120</v>
      </c>
      <c r="H20" s="48"/>
      <c r="I20" s="154"/>
      <c r="J20" s="48"/>
      <c r="K20" s="157"/>
    </row>
    <row r="21" spans="2:15" ht="16" x14ac:dyDescent="0.2">
      <c r="B21" s="242" t="s">
        <v>185</v>
      </c>
      <c r="C21" s="227" t="s">
        <v>15</v>
      </c>
      <c r="D21" s="228">
        <v>11700</v>
      </c>
      <c r="E21" s="228">
        <v>4680</v>
      </c>
      <c r="F21" s="229">
        <f>SUM(1800*100)</f>
        <v>180000</v>
      </c>
      <c r="G21" s="240" t="s">
        <v>246</v>
      </c>
      <c r="H21" s="48"/>
      <c r="I21" s="154"/>
      <c r="J21" s="48"/>
      <c r="K21" s="157"/>
    </row>
    <row r="22" spans="2:15" ht="16" x14ac:dyDescent="0.2">
      <c r="B22" s="238"/>
      <c r="C22" s="227" t="s">
        <v>16</v>
      </c>
      <c r="D22" s="228">
        <v>10500</v>
      </c>
      <c r="E22" s="228">
        <v>4200</v>
      </c>
      <c r="F22" s="229">
        <f>SUM(1800*100)</f>
        <v>180000</v>
      </c>
      <c r="G22" s="240" t="s">
        <v>246</v>
      </c>
      <c r="H22" s="48"/>
      <c r="I22" s="154"/>
      <c r="J22" s="48"/>
      <c r="K22" s="157"/>
      <c r="M22" s="92" t="s">
        <v>94</v>
      </c>
      <c r="N22" s="356"/>
      <c r="O22" s="63"/>
    </row>
    <row r="23" spans="2:15" ht="16" x14ac:dyDescent="0.2">
      <c r="B23" s="238"/>
      <c r="C23" s="227" t="s">
        <v>17</v>
      </c>
      <c r="D23" s="228">
        <v>5000</v>
      </c>
      <c r="E23" s="228">
        <v>1000</v>
      </c>
      <c r="F23" s="229">
        <f>SUM(700*100)</f>
        <v>70000</v>
      </c>
      <c r="G23" s="240" t="s">
        <v>247</v>
      </c>
      <c r="H23" s="48"/>
      <c r="I23" s="154"/>
      <c r="J23" s="48"/>
      <c r="K23" s="157"/>
      <c r="N23" s="165"/>
      <c r="O23" s="162"/>
    </row>
    <row r="24" spans="2:15" ht="16" x14ac:dyDescent="0.2">
      <c r="B24" s="238"/>
      <c r="C24" s="227" t="s">
        <v>18</v>
      </c>
      <c r="D24" s="228">
        <v>650</v>
      </c>
      <c r="E24" s="228">
        <v>130</v>
      </c>
      <c r="F24" s="229">
        <f>SUM(100*100)</f>
        <v>10000</v>
      </c>
      <c r="G24" s="240" t="s">
        <v>248</v>
      </c>
      <c r="H24" s="48"/>
      <c r="I24" s="154"/>
      <c r="J24" s="48"/>
      <c r="K24" s="157"/>
      <c r="N24" s="165"/>
      <c r="O24" s="163"/>
    </row>
    <row r="25" spans="2:15" ht="16" x14ac:dyDescent="0.2">
      <c r="B25" s="238"/>
      <c r="C25" s="227" t="s">
        <v>19</v>
      </c>
      <c r="D25" s="228">
        <v>650</v>
      </c>
      <c r="E25" s="228">
        <v>130</v>
      </c>
      <c r="F25" s="229">
        <f>SUM(100*100)</f>
        <v>10000</v>
      </c>
      <c r="G25" s="240" t="s">
        <v>248</v>
      </c>
      <c r="H25" s="48"/>
      <c r="I25" s="154"/>
      <c r="J25" s="48"/>
      <c r="K25" s="157"/>
      <c r="N25" s="165"/>
      <c r="O25" s="163"/>
    </row>
    <row r="26" spans="2:15" ht="16" x14ac:dyDescent="0.2">
      <c r="B26" s="238"/>
      <c r="C26" s="227" t="s">
        <v>20</v>
      </c>
      <c r="D26" s="228">
        <v>1250</v>
      </c>
      <c r="E26" s="228">
        <v>500</v>
      </c>
      <c r="F26" s="229">
        <f>SUM(250*100)</f>
        <v>25000</v>
      </c>
      <c r="G26" s="240" t="s">
        <v>249</v>
      </c>
      <c r="H26" s="48"/>
      <c r="I26" s="154"/>
      <c r="J26" s="48"/>
      <c r="K26" s="157"/>
      <c r="N26" s="63"/>
      <c r="O26" s="163"/>
    </row>
    <row r="27" spans="2:15" ht="16" x14ac:dyDescent="0.2">
      <c r="B27" s="238"/>
      <c r="C27" s="243" t="s">
        <v>21</v>
      </c>
      <c r="D27" s="243">
        <f>SUM(D17:D26)</f>
        <v>132250</v>
      </c>
      <c r="E27" s="243">
        <f>SUM(E17:E26)</f>
        <v>113140</v>
      </c>
      <c r="F27" s="243">
        <f>SUM(F18:F26)</f>
        <v>545000</v>
      </c>
      <c r="G27" s="244">
        <v>700000</v>
      </c>
      <c r="H27" s="48"/>
      <c r="I27" s="154"/>
      <c r="J27" s="48"/>
      <c r="K27" s="157"/>
      <c r="N27" s="63"/>
      <c r="O27" s="163"/>
    </row>
    <row r="28" spans="2:15" ht="16" x14ac:dyDescent="0.2">
      <c r="B28" s="238"/>
      <c r="C28" s="245"/>
      <c r="D28" s="246"/>
      <c r="E28" s="246"/>
      <c r="F28" s="245"/>
      <c r="G28" s="247"/>
      <c r="H28" s="117"/>
      <c r="I28" s="154"/>
      <c r="J28" s="117"/>
      <c r="K28" s="157"/>
      <c r="M28" s="93"/>
      <c r="N28" s="160"/>
      <c r="O28" s="163"/>
    </row>
    <row r="29" spans="2:15" ht="16" x14ac:dyDescent="0.2">
      <c r="B29" s="242" t="s">
        <v>23</v>
      </c>
      <c r="C29" s="227" t="s">
        <v>24</v>
      </c>
      <c r="D29" s="228">
        <v>15000</v>
      </c>
      <c r="E29" s="228">
        <v>6000</v>
      </c>
      <c r="F29" s="229">
        <f>SUM(200*100)</f>
        <v>20000</v>
      </c>
      <c r="G29" s="240" t="s">
        <v>120</v>
      </c>
      <c r="H29" s="48"/>
      <c r="I29" s="154"/>
      <c r="J29" s="48"/>
      <c r="K29" s="157"/>
      <c r="N29" s="63"/>
      <c r="O29" s="163"/>
    </row>
    <row r="30" spans="2:15" ht="16" x14ac:dyDescent="0.2">
      <c r="B30" s="238" t="s">
        <v>148</v>
      </c>
      <c r="C30" s="227" t="s">
        <v>130</v>
      </c>
      <c r="D30" s="228">
        <v>2500</v>
      </c>
      <c r="E30" s="228">
        <v>1000</v>
      </c>
      <c r="F30" s="229">
        <f>SUM(250*100)</f>
        <v>25000</v>
      </c>
      <c r="G30" s="240" t="s">
        <v>249</v>
      </c>
      <c r="H30" s="48"/>
      <c r="I30" s="154"/>
      <c r="J30" s="48"/>
      <c r="K30" s="157"/>
      <c r="N30" s="63"/>
      <c r="O30" s="163"/>
    </row>
    <row r="31" spans="2:15" ht="16" x14ac:dyDescent="0.2">
      <c r="B31" s="238" t="s">
        <v>149</v>
      </c>
      <c r="C31" s="248" t="s">
        <v>262</v>
      </c>
      <c r="D31" s="224">
        <v>90000</v>
      </c>
      <c r="E31" s="224">
        <v>90000</v>
      </c>
      <c r="F31" s="249">
        <v>0</v>
      </c>
      <c r="G31" s="240"/>
      <c r="H31" s="64">
        <v>55000</v>
      </c>
      <c r="I31" s="154"/>
      <c r="J31" s="48"/>
      <c r="K31" s="157"/>
      <c r="N31" s="165"/>
      <c r="O31" s="163"/>
    </row>
    <row r="32" spans="2:15" ht="18" customHeight="1" x14ac:dyDescent="0.2">
      <c r="B32" s="238" t="s">
        <v>150</v>
      </c>
      <c r="C32" s="250" t="s">
        <v>131</v>
      </c>
      <c r="D32" s="228">
        <v>2500</v>
      </c>
      <c r="E32" s="228">
        <v>2500</v>
      </c>
      <c r="F32" s="229">
        <f>SUM(250*100)</f>
        <v>25000</v>
      </c>
      <c r="G32" s="240"/>
      <c r="H32" s="48"/>
      <c r="I32" s="154"/>
      <c r="J32" s="48"/>
      <c r="K32" s="157"/>
      <c r="N32" s="356"/>
      <c r="O32" s="357"/>
    </row>
    <row r="33" spans="2:15" ht="18" thickBot="1" x14ac:dyDescent="0.25">
      <c r="B33" s="251"/>
      <c r="C33" s="252" t="s">
        <v>9</v>
      </c>
      <c r="D33" s="253">
        <f>SUM(D29:D32)</f>
        <v>110000</v>
      </c>
      <c r="E33" s="253">
        <f>SUM(E29:E32)</f>
        <v>99500</v>
      </c>
      <c r="F33" s="254">
        <f>SUM(F29:F32)</f>
        <v>70000</v>
      </c>
      <c r="G33" s="255"/>
      <c r="H33" s="48"/>
      <c r="I33" s="154"/>
      <c r="J33" s="48"/>
      <c r="K33" s="157"/>
      <c r="N33" s="161"/>
      <c r="O33" s="164"/>
    </row>
    <row r="34" spans="2:15" ht="18" thickTop="1" thickBot="1" x14ac:dyDescent="0.25">
      <c r="D34" s="43"/>
      <c r="E34" s="43"/>
      <c r="F34"/>
      <c r="H34" s="48"/>
      <c r="I34" s="154"/>
      <c r="J34" s="48"/>
      <c r="K34" s="157"/>
    </row>
    <row r="35" spans="2:15" ht="17" thickTop="1" x14ac:dyDescent="0.2">
      <c r="B35" s="256" t="s">
        <v>309</v>
      </c>
      <c r="C35" s="257" t="s">
        <v>240</v>
      </c>
      <c r="D35" s="258">
        <v>15000</v>
      </c>
      <c r="E35" s="258">
        <v>15000</v>
      </c>
      <c r="F35" s="259">
        <f>SUM(950*100)</f>
        <v>95000</v>
      </c>
      <c r="G35" s="260"/>
      <c r="H35" s="48"/>
      <c r="I35" s="154"/>
      <c r="J35" s="48"/>
      <c r="K35" s="157"/>
    </row>
    <row r="36" spans="2:15" ht="16" x14ac:dyDescent="0.2">
      <c r="B36" s="261"/>
      <c r="C36" s="262" t="s">
        <v>135</v>
      </c>
      <c r="D36" s="263">
        <v>10000</v>
      </c>
      <c r="E36" s="263">
        <v>10000</v>
      </c>
      <c r="F36" s="229">
        <f>SUM(900*100)</f>
        <v>90000</v>
      </c>
      <c r="G36" s="264"/>
      <c r="H36" s="48"/>
      <c r="I36" s="154"/>
      <c r="J36" s="48"/>
      <c r="K36" s="157"/>
    </row>
    <row r="37" spans="2:15" ht="16" x14ac:dyDescent="0.2">
      <c r="B37" s="261"/>
      <c r="C37" s="248" t="s">
        <v>257</v>
      </c>
      <c r="D37" s="224">
        <v>80000</v>
      </c>
      <c r="E37" s="224">
        <v>80000</v>
      </c>
      <c r="F37" s="249">
        <v>0</v>
      </c>
      <c r="G37" s="264"/>
      <c r="H37" s="48"/>
      <c r="I37" s="154"/>
      <c r="J37" s="64">
        <v>40000</v>
      </c>
      <c r="K37" s="157"/>
    </row>
    <row r="38" spans="2:15" ht="16" x14ac:dyDescent="0.2">
      <c r="B38" s="261"/>
      <c r="C38" s="243" t="s">
        <v>9</v>
      </c>
      <c r="D38" s="243">
        <f>SUM(D35:D37)</f>
        <v>105000</v>
      </c>
      <c r="E38" s="265">
        <f>SUM(E35:E37)</f>
        <v>105000</v>
      </c>
      <c r="F38" s="243">
        <f>SUM(F35:F37)</f>
        <v>185000</v>
      </c>
      <c r="G38" s="266">
        <v>160000</v>
      </c>
      <c r="H38" s="48"/>
      <c r="I38" s="154"/>
      <c r="J38" s="48"/>
      <c r="K38" s="157"/>
    </row>
    <row r="39" spans="2:15" ht="16" x14ac:dyDescent="0.2">
      <c r="B39" s="267" t="s">
        <v>132</v>
      </c>
      <c r="C39" s="245"/>
      <c r="D39" s="246"/>
      <c r="E39" s="246"/>
      <c r="F39" s="245"/>
      <c r="G39" s="268"/>
      <c r="H39" s="117"/>
      <c r="I39" s="154"/>
      <c r="J39" s="117"/>
      <c r="K39" s="157"/>
      <c r="M39" s="93"/>
      <c r="N39" s="93"/>
    </row>
    <row r="40" spans="2:15" ht="17" x14ac:dyDescent="0.2">
      <c r="B40" s="261" t="s">
        <v>125</v>
      </c>
      <c r="C40" s="223" t="s">
        <v>258</v>
      </c>
      <c r="D40" s="224">
        <v>75000</v>
      </c>
      <c r="E40" s="224">
        <v>75000</v>
      </c>
      <c r="F40" s="249">
        <v>0</v>
      </c>
      <c r="G40" s="269"/>
      <c r="H40" s="151">
        <v>20000</v>
      </c>
      <c r="I40" s="154"/>
      <c r="J40" s="151">
        <v>10000</v>
      </c>
      <c r="K40" s="157"/>
    </row>
    <row r="41" spans="2:15" ht="16" x14ac:dyDescent="0.2">
      <c r="B41" s="261" t="s">
        <v>124</v>
      </c>
      <c r="C41" s="227" t="s">
        <v>237</v>
      </c>
      <c r="D41" s="228">
        <v>30000</v>
      </c>
      <c r="E41" s="228">
        <v>6000</v>
      </c>
      <c r="F41" s="229">
        <f>SUM(1200*100)</f>
        <v>120000</v>
      </c>
      <c r="G41" s="269" t="s">
        <v>284</v>
      </c>
      <c r="H41" s="117"/>
      <c r="I41" s="154"/>
      <c r="J41" s="117"/>
      <c r="K41" s="157"/>
    </row>
    <row r="42" spans="2:15" ht="16" x14ac:dyDescent="0.2">
      <c r="B42" s="261" t="s">
        <v>121</v>
      </c>
      <c r="C42" s="227" t="s">
        <v>96</v>
      </c>
      <c r="D42" s="228">
        <v>7500</v>
      </c>
      <c r="E42" s="228">
        <v>3000</v>
      </c>
      <c r="F42" s="229">
        <f>SUM(900*100)</f>
        <v>90000</v>
      </c>
      <c r="G42" s="269" t="s">
        <v>280</v>
      </c>
      <c r="H42" s="118"/>
      <c r="I42" s="155"/>
      <c r="J42" s="118"/>
      <c r="K42" s="157"/>
      <c r="M42" s="97"/>
      <c r="N42" s="97"/>
    </row>
    <row r="43" spans="2:15" ht="17" x14ac:dyDescent="0.2">
      <c r="B43" s="261"/>
      <c r="C43" s="270" t="s">
        <v>9</v>
      </c>
      <c r="D43" s="271">
        <f>SUM(D40:D42)</f>
        <v>112500</v>
      </c>
      <c r="E43" s="271">
        <f>SUM(E40:E42)</f>
        <v>84000</v>
      </c>
      <c r="F43" s="272">
        <f>SUM(F41:F42)</f>
        <v>210000</v>
      </c>
      <c r="G43" s="268">
        <v>210000</v>
      </c>
      <c r="H43" s="117"/>
      <c r="I43" s="154"/>
      <c r="J43" s="117"/>
      <c r="K43" s="157"/>
    </row>
    <row r="44" spans="2:15" ht="17" thickBot="1" x14ac:dyDescent="0.25">
      <c r="B44" s="273"/>
      <c r="C44" s="274"/>
      <c r="D44" s="275"/>
      <c r="E44" s="275"/>
      <c r="F44" s="274"/>
      <c r="G44" s="276">
        <f>SUM(G27:G43)</f>
        <v>1070000</v>
      </c>
      <c r="H44" s="117"/>
      <c r="I44" s="154"/>
      <c r="J44" s="117"/>
      <c r="K44" s="157"/>
    </row>
    <row r="45" spans="2:15" ht="18" thickTop="1" thickBot="1" x14ac:dyDescent="0.25">
      <c r="B45" s="3"/>
      <c r="C45" s="57"/>
      <c r="D45" s="55"/>
      <c r="E45" s="55"/>
      <c r="F45" s="54"/>
      <c r="G45" s="93"/>
      <c r="H45" s="117"/>
      <c r="I45" s="154"/>
      <c r="J45" s="117"/>
      <c r="K45" s="157"/>
      <c r="M45" s="93"/>
      <c r="N45" s="93"/>
    </row>
    <row r="46" spans="2:15" ht="17" thickTop="1" x14ac:dyDescent="0.2">
      <c r="B46" s="277" t="s">
        <v>29</v>
      </c>
      <c r="C46" s="278"/>
      <c r="D46" s="279"/>
      <c r="E46" s="279"/>
      <c r="F46" s="280"/>
      <c r="G46" s="281"/>
      <c r="H46" s="117"/>
      <c r="I46" s="154"/>
      <c r="J46" s="117"/>
      <c r="K46" s="157"/>
      <c r="M46" s="93"/>
      <c r="N46" s="93"/>
    </row>
    <row r="47" spans="2:15" ht="40" x14ac:dyDescent="0.2">
      <c r="B47" s="282" t="s">
        <v>232</v>
      </c>
      <c r="C47" s="227" t="s">
        <v>266</v>
      </c>
      <c r="D47" s="283">
        <v>16000</v>
      </c>
      <c r="E47" s="283">
        <v>7000</v>
      </c>
      <c r="F47" s="284">
        <v>320000</v>
      </c>
      <c r="G47" s="285"/>
      <c r="H47" s="48"/>
      <c r="I47" s="154"/>
      <c r="J47" s="48"/>
      <c r="K47" s="157"/>
    </row>
    <row r="48" spans="2:15" ht="16" x14ac:dyDescent="0.2">
      <c r="B48" s="282" t="s">
        <v>267</v>
      </c>
      <c r="C48" s="227"/>
      <c r="D48" s="283">
        <v>10000</v>
      </c>
      <c r="E48" s="283">
        <v>4000</v>
      </c>
      <c r="F48" s="284">
        <v>10000</v>
      </c>
      <c r="G48" s="285" t="s">
        <v>281</v>
      </c>
      <c r="H48" s="48"/>
      <c r="I48" s="154"/>
      <c r="J48" s="64" t="s">
        <v>94</v>
      </c>
      <c r="K48" s="157"/>
    </row>
    <row r="49" spans="2:14" ht="32" x14ac:dyDescent="0.2">
      <c r="B49" s="282" t="s">
        <v>144</v>
      </c>
      <c r="C49" s="286" t="s">
        <v>256</v>
      </c>
      <c r="D49" s="224">
        <v>300000</v>
      </c>
      <c r="E49" s="224">
        <v>200000</v>
      </c>
      <c r="F49" s="249">
        <v>0</v>
      </c>
      <c r="G49" s="285"/>
      <c r="H49" s="48"/>
      <c r="I49" s="154"/>
      <c r="J49" s="152">
        <v>150000</v>
      </c>
      <c r="K49" s="158">
        <v>50000</v>
      </c>
    </row>
    <row r="50" spans="2:14" ht="16" x14ac:dyDescent="0.2">
      <c r="B50" s="282" t="s">
        <v>133</v>
      </c>
      <c r="C50" s="227" t="s">
        <v>94</v>
      </c>
      <c r="D50" s="228">
        <v>5000</v>
      </c>
      <c r="E50" s="228">
        <v>5000</v>
      </c>
      <c r="F50" s="229">
        <f>SUM(100*100)</f>
        <v>10000</v>
      </c>
      <c r="G50" s="285" t="s">
        <v>282</v>
      </c>
      <c r="H50" s="48"/>
      <c r="I50" s="154"/>
      <c r="J50" s="48"/>
      <c r="K50" s="157"/>
    </row>
    <row r="51" spans="2:14" ht="17" x14ac:dyDescent="0.2">
      <c r="B51" s="282" t="s">
        <v>251</v>
      </c>
      <c r="C51" s="223" t="s">
        <v>255</v>
      </c>
      <c r="D51" s="224">
        <v>10000</v>
      </c>
      <c r="E51" s="224">
        <v>10000</v>
      </c>
      <c r="F51" s="225"/>
      <c r="G51" s="285"/>
      <c r="H51" s="48"/>
      <c r="I51" s="154"/>
      <c r="J51" s="48"/>
      <c r="K51" s="157"/>
    </row>
    <row r="52" spans="2:14" ht="27" x14ac:dyDescent="0.2">
      <c r="B52" s="287" t="s">
        <v>34</v>
      </c>
      <c r="C52" s="227" t="s">
        <v>31</v>
      </c>
      <c r="D52" s="228">
        <v>500</v>
      </c>
      <c r="E52" s="228">
        <v>500</v>
      </c>
      <c r="F52" s="229">
        <f>SUM(50*100)</f>
        <v>5000</v>
      </c>
      <c r="G52" s="285" t="s">
        <v>283</v>
      </c>
      <c r="H52" s="48"/>
      <c r="I52" s="154"/>
      <c r="J52" s="48"/>
      <c r="K52" s="157"/>
    </row>
    <row r="53" spans="2:14" ht="16" x14ac:dyDescent="0.2">
      <c r="B53" s="282" t="s">
        <v>38</v>
      </c>
      <c r="C53" s="227" t="s">
        <v>32</v>
      </c>
      <c r="D53" s="228">
        <v>2500</v>
      </c>
      <c r="E53" s="228">
        <v>500</v>
      </c>
      <c r="F53" s="229">
        <f>SUM(100*100)</f>
        <v>10000</v>
      </c>
      <c r="G53" s="285" t="s">
        <v>282</v>
      </c>
      <c r="H53" s="48"/>
      <c r="I53" s="154"/>
      <c r="J53" s="48"/>
      <c r="K53" s="157"/>
    </row>
    <row r="54" spans="2:14" ht="16" x14ac:dyDescent="0.2">
      <c r="B54" s="282" t="s">
        <v>143</v>
      </c>
      <c r="C54" s="248" t="s">
        <v>268</v>
      </c>
      <c r="D54" s="224">
        <v>10000</v>
      </c>
      <c r="E54" s="224">
        <v>10000</v>
      </c>
      <c r="F54" s="249">
        <v>0</v>
      </c>
      <c r="G54" s="285"/>
      <c r="H54" s="64">
        <f>D54</f>
        <v>10000</v>
      </c>
      <c r="I54" s="154"/>
      <c r="J54" s="48"/>
      <c r="K54" s="157"/>
    </row>
    <row r="55" spans="2:14" ht="16" x14ac:dyDescent="0.2">
      <c r="B55" s="282" t="s">
        <v>39</v>
      </c>
      <c r="C55" s="227" t="s">
        <v>41</v>
      </c>
      <c r="D55" s="228">
        <v>2500</v>
      </c>
      <c r="E55" s="228">
        <v>1000</v>
      </c>
      <c r="F55" s="229">
        <v>10000</v>
      </c>
      <c r="G55" s="285"/>
      <c r="H55" s="48"/>
      <c r="I55" s="154"/>
      <c r="J55" s="48"/>
      <c r="K55" s="157"/>
    </row>
    <row r="56" spans="2:14" ht="18" thickBot="1" x14ac:dyDescent="0.25">
      <c r="B56" s="340"/>
      <c r="C56" s="341" t="s">
        <v>42</v>
      </c>
      <c r="D56" s="342">
        <f>SUM(D47:D55)</f>
        <v>356500</v>
      </c>
      <c r="E56" s="342">
        <f>SUM(E47:E55)</f>
        <v>238000</v>
      </c>
      <c r="F56" s="343">
        <f>SUM(F47:F55)</f>
        <v>365000</v>
      </c>
      <c r="G56" s="293">
        <v>95000</v>
      </c>
      <c r="H56" s="48"/>
      <c r="I56" s="154"/>
      <c r="J56" s="48"/>
      <c r="K56" s="157"/>
    </row>
    <row r="57" spans="2:14" ht="18" thickTop="1" thickBot="1" x14ac:dyDescent="0.25">
      <c r="B57" s="348"/>
      <c r="C57" s="349"/>
      <c r="D57" s="350"/>
      <c r="E57" s="350"/>
      <c r="F57" s="349"/>
      <c r="G57" s="351"/>
      <c r="H57" s="117"/>
      <c r="I57" s="154"/>
      <c r="J57" s="117"/>
      <c r="K57" s="157"/>
      <c r="M57" s="98"/>
      <c r="N57" s="98"/>
    </row>
    <row r="58" spans="2:14" ht="17" thickTop="1" x14ac:dyDescent="0.2">
      <c r="B58" s="277" t="s">
        <v>45</v>
      </c>
      <c r="C58" s="344" t="s">
        <v>119</v>
      </c>
      <c r="D58" s="345">
        <v>2500</v>
      </c>
      <c r="E58" s="345">
        <v>1000</v>
      </c>
      <c r="F58" s="346">
        <v>20000</v>
      </c>
      <c r="G58" s="347"/>
      <c r="H58" s="118"/>
      <c r="I58" s="155"/>
      <c r="J58" s="118"/>
      <c r="K58" s="157"/>
      <c r="M58" s="97"/>
      <c r="N58" s="97"/>
    </row>
    <row r="59" spans="2:14" ht="16" x14ac:dyDescent="0.2">
      <c r="B59" s="282" t="s">
        <v>123</v>
      </c>
      <c r="C59" s="227" t="s">
        <v>120</v>
      </c>
      <c r="D59" s="228">
        <v>1000</v>
      </c>
      <c r="E59" s="228">
        <v>500</v>
      </c>
      <c r="F59" s="229">
        <v>20000</v>
      </c>
      <c r="G59" s="288"/>
      <c r="H59" s="117"/>
      <c r="I59" s="154"/>
      <c r="J59" s="117"/>
      <c r="K59" s="157"/>
    </row>
    <row r="60" spans="2:14" ht="17" x14ac:dyDescent="0.2">
      <c r="B60" s="282" t="s">
        <v>126</v>
      </c>
      <c r="C60" s="223" t="s">
        <v>254</v>
      </c>
      <c r="D60" s="224">
        <v>75000</v>
      </c>
      <c r="E60" s="224">
        <v>75000</v>
      </c>
      <c r="F60" s="229">
        <v>0</v>
      </c>
      <c r="G60" s="289"/>
      <c r="H60" s="48"/>
      <c r="I60" s="154"/>
      <c r="J60" s="64">
        <f>D60</f>
        <v>75000</v>
      </c>
      <c r="K60" s="157"/>
    </row>
    <row r="61" spans="2:14" ht="16" x14ac:dyDescent="0.2">
      <c r="B61" s="282" t="s">
        <v>127</v>
      </c>
      <c r="C61" s="249"/>
      <c r="D61" s="263">
        <v>4000</v>
      </c>
      <c r="E61" s="263">
        <v>2000</v>
      </c>
      <c r="F61" s="229">
        <v>30000</v>
      </c>
      <c r="G61" s="289"/>
      <c r="H61" s="48"/>
      <c r="I61" s="154"/>
      <c r="J61" s="48"/>
      <c r="K61" s="157"/>
    </row>
    <row r="62" spans="2:14" ht="16" x14ac:dyDescent="0.2">
      <c r="B62" s="282" t="s">
        <v>122</v>
      </c>
      <c r="C62" s="227" t="s">
        <v>269</v>
      </c>
      <c r="D62" s="228">
        <v>1500</v>
      </c>
      <c r="E62" s="228">
        <v>600</v>
      </c>
      <c r="F62" s="229">
        <v>20000</v>
      </c>
      <c r="G62" s="289"/>
      <c r="H62" s="48"/>
      <c r="I62" s="154"/>
      <c r="J62" s="48"/>
      <c r="K62" s="157"/>
    </row>
    <row r="63" spans="2:14" ht="18" thickBot="1" x14ac:dyDescent="0.25">
      <c r="B63" s="290"/>
      <c r="C63" s="291" t="s">
        <v>128</v>
      </c>
      <c r="D63" s="292">
        <f>SUM(D58:D62)</f>
        <v>84000</v>
      </c>
      <c r="E63" s="352">
        <f>SUM(E58:E62)</f>
        <v>79100</v>
      </c>
      <c r="F63" s="292">
        <f>SUM(F58:F62)</f>
        <v>90000</v>
      </c>
      <c r="G63" s="293">
        <v>90000</v>
      </c>
      <c r="H63" s="118"/>
      <c r="I63" s="155"/>
      <c r="J63" s="118"/>
      <c r="K63" s="157"/>
      <c r="M63" s="97"/>
      <c r="N63" s="97"/>
    </row>
    <row r="64" spans="2:14" ht="18" thickTop="1" thickBot="1" x14ac:dyDescent="0.25">
      <c r="B64" s="3"/>
      <c r="C64" s="57"/>
      <c r="D64" s="55"/>
      <c r="E64" s="55"/>
      <c r="F64" s="54"/>
      <c r="G64" s="93"/>
      <c r="H64" s="119"/>
      <c r="I64" s="156"/>
      <c r="J64" s="119"/>
      <c r="K64" s="157"/>
      <c r="M64" s="98"/>
      <c r="N64" s="98"/>
    </row>
    <row r="65" spans="2:15" ht="17" thickTop="1" x14ac:dyDescent="0.2">
      <c r="B65" s="294" t="s">
        <v>53</v>
      </c>
      <c r="C65" s="295"/>
      <c r="D65" s="296"/>
      <c r="E65" s="296"/>
      <c r="F65" s="297"/>
      <c r="G65" s="298"/>
      <c r="H65" s="119"/>
      <c r="I65" s="156"/>
      <c r="J65" s="119"/>
      <c r="K65" s="157"/>
      <c r="M65" s="98"/>
      <c r="N65" s="98"/>
    </row>
    <row r="66" spans="2:15" ht="16" x14ac:dyDescent="0.2">
      <c r="B66" s="299" t="s">
        <v>271</v>
      </c>
      <c r="C66" s="248" t="s">
        <v>253</v>
      </c>
      <c r="D66" s="224">
        <v>350000</v>
      </c>
      <c r="E66" s="224">
        <v>350000</v>
      </c>
      <c r="F66" s="229">
        <v>0</v>
      </c>
      <c r="G66" s="300"/>
      <c r="H66" s="64">
        <v>400000</v>
      </c>
      <c r="I66" s="154"/>
      <c r="J66" s="64">
        <v>100000</v>
      </c>
      <c r="K66" s="157"/>
    </row>
    <row r="67" spans="2:15" ht="16" x14ac:dyDescent="0.2">
      <c r="B67" s="299"/>
      <c r="C67" s="227" t="s">
        <v>71</v>
      </c>
      <c r="D67" s="228">
        <v>25000</v>
      </c>
      <c r="E67" s="228">
        <v>5000</v>
      </c>
      <c r="F67" s="229">
        <f>SUM(2500*100)</f>
        <v>250000</v>
      </c>
      <c r="G67" s="301">
        <v>250000</v>
      </c>
      <c r="H67" s="48"/>
      <c r="I67" s="154"/>
      <c r="J67" s="48"/>
      <c r="K67" s="157"/>
    </row>
    <row r="68" spans="2:15" ht="16" x14ac:dyDescent="0.2">
      <c r="B68" s="299"/>
      <c r="C68" s="227" t="s">
        <v>134</v>
      </c>
      <c r="D68" s="228">
        <v>5000</v>
      </c>
      <c r="E68" s="228">
        <v>5000</v>
      </c>
      <c r="F68" s="229">
        <f>SUM(800*100)</f>
        <v>80000</v>
      </c>
      <c r="G68" s="301">
        <v>80000</v>
      </c>
      <c r="H68" s="48"/>
      <c r="I68" s="154"/>
      <c r="J68" s="48"/>
      <c r="K68" s="157"/>
    </row>
    <row r="69" spans="2:15" ht="16" x14ac:dyDescent="0.2">
      <c r="B69" s="299" t="s">
        <v>137</v>
      </c>
      <c r="C69" s="227" t="s">
        <v>270</v>
      </c>
      <c r="D69" s="228">
        <v>25000</v>
      </c>
      <c r="E69" s="228">
        <v>5000</v>
      </c>
      <c r="F69" s="229">
        <f>SUM(900*100)</f>
        <v>90000</v>
      </c>
      <c r="G69" s="302">
        <v>90000</v>
      </c>
      <c r="H69" s="48"/>
      <c r="I69" s="154"/>
      <c r="J69" s="48"/>
      <c r="K69" s="157"/>
    </row>
    <row r="70" spans="2:15" ht="16" x14ac:dyDescent="0.2">
      <c r="B70" s="299" t="s">
        <v>138</v>
      </c>
      <c r="C70" s="248" t="s">
        <v>252</v>
      </c>
      <c r="D70" s="225">
        <v>0</v>
      </c>
      <c r="E70" s="225">
        <v>0</v>
      </c>
      <c r="F70" s="303">
        <v>150000</v>
      </c>
      <c r="G70" s="302" t="s">
        <v>94</v>
      </c>
      <c r="H70" s="64">
        <v>250000</v>
      </c>
      <c r="I70" s="77"/>
      <c r="J70" s="64">
        <v>100000</v>
      </c>
      <c r="K70" s="157"/>
    </row>
    <row r="71" spans="2:15" ht="16" x14ac:dyDescent="0.2">
      <c r="B71" s="299"/>
      <c r="C71" s="248" t="s">
        <v>138</v>
      </c>
      <c r="D71" s="225">
        <v>0</v>
      </c>
      <c r="E71" s="225">
        <v>0</v>
      </c>
      <c r="F71" s="229">
        <f>SUM(3000*100)</f>
        <v>300000</v>
      </c>
      <c r="G71" s="302"/>
      <c r="H71" s="64"/>
      <c r="I71" s="77"/>
      <c r="J71" s="64"/>
      <c r="K71" s="157"/>
    </row>
    <row r="72" spans="2:15" ht="16" x14ac:dyDescent="0.2">
      <c r="B72" s="299" t="s">
        <v>139</v>
      </c>
      <c r="C72" s="262" t="s">
        <v>272</v>
      </c>
      <c r="D72" s="304">
        <v>2500</v>
      </c>
      <c r="E72" s="304">
        <v>2500</v>
      </c>
      <c r="F72" s="229">
        <f>SUM(250*100)</f>
        <v>25000</v>
      </c>
      <c r="G72" s="302">
        <v>25000</v>
      </c>
      <c r="H72" s="48"/>
      <c r="I72" s="154"/>
      <c r="J72" s="48"/>
      <c r="K72" s="157"/>
    </row>
    <row r="73" spans="2:15" ht="16" x14ac:dyDescent="0.2">
      <c r="B73" s="299" t="s">
        <v>140</v>
      </c>
      <c r="C73" s="262" t="s">
        <v>67</v>
      </c>
      <c r="D73" s="304">
        <v>3000</v>
      </c>
      <c r="E73" s="304">
        <v>3000</v>
      </c>
      <c r="F73" s="229">
        <f>SUM(500*100)</f>
        <v>50000</v>
      </c>
      <c r="G73" s="302">
        <v>50000</v>
      </c>
      <c r="H73" s="48"/>
      <c r="I73" s="154"/>
      <c r="J73" s="48"/>
      <c r="K73" s="157"/>
    </row>
    <row r="74" spans="2:15" ht="16" x14ac:dyDescent="0.2">
      <c r="B74" s="299" t="s">
        <v>141</v>
      </c>
      <c r="C74" s="305" t="s">
        <v>263</v>
      </c>
      <c r="D74" s="224">
        <v>225000</v>
      </c>
      <c r="E74" s="224">
        <v>225000</v>
      </c>
      <c r="F74" s="249">
        <v>0</v>
      </c>
      <c r="G74" s="306">
        <f>SUM(G67:G73)</f>
        <v>495000</v>
      </c>
      <c r="H74" s="64">
        <v>100000</v>
      </c>
      <c r="I74" s="77"/>
      <c r="J74" s="64">
        <v>50000</v>
      </c>
      <c r="K74" s="157"/>
    </row>
    <row r="75" spans="2:15" ht="16" x14ac:dyDescent="0.2">
      <c r="B75" s="299" t="s">
        <v>142</v>
      </c>
      <c r="C75" s="307" t="s">
        <v>129</v>
      </c>
      <c r="D75" s="308">
        <v>20000</v>
      </c>
      <c r="E75" s="308">
        <v>5000</v>
      </c>
      <c r="F75" s="229">
        <v>200000</v>
      </c>
      <c r="G75" s="301" t="s">
        <v>285</v>
      </c>
      <c r="H75" s="48"/>
      <c r="I75" s="154"/>
      <c r="J75" s="48"/>
      <c r="K75" s="157"/>
    </row>
    <row r="76" spans="2:15" ht="17" thickBot="1" x14ac:dyDescent="0.25">
      <c r="B76" s="309"/>
      <c r="C76" s="310" t="s">
        <v>9</v>
      </c>
      <c r="D76" s="311">
        <f>SUM(D66:D75)</f>
        <v>655500</v>
      </c>
      <c r="E76" s="311">
        <f>SUM(E66:E75)</f>
        <v>600500</v>
      </c>
      <c r="F76" s="312">
        <f>SUM(F66:F75)</f>
        <v>1145000</v>
      </c>
      <c r="G76" s="313"/>
      <c r="H76" s="48"/>
      <c r="I76" s="154"/>
      <c r="J76" s="48"/>
      <c r="K76" s="157"/>
    </row>
    <row r="77" spans="2:15" ht="18" thickTop="1" thickBot="1" x14ac:dyDescent="0.25">
      <c r="B77" s="3"/>
      <c r="C77" s="54"/>
      <c r="D77" s="55"/>
      <c r="E77" s="55"/>
      <c r="F77" s="54"/>
      <c r="G77" s="93"/>
      <c r="H77" s="117"/>
      <c r="I77" s="154"/>
      <c r="J77" s="117"/>
      <c r="K77" s="157"/>
      <c r="M77" s="93"/>
      <c r="N77" s="93"/>
      <c r="O77" s="93"/>
    </row>
    <row r="78" spans="2:15" ht="17" thickTop="1" x14ac:dyDescent="0.2">
      <c r="B78" s="315" t="s">
        <v>136</v>
      </c>
      <c r="C78" s="316"/>
      <c r="D78" s="317"/>
      <c r="E78" s="317"/>
      <c r="F78" s="316"/>
      <c r="G78" s="318"/>
      <c r="H78" s="117"/>
      <c r="I78" s="154"/>
      <c r="J78" s="117"/>
      <c r="K78" s="157"/>
      <c r="M78" s="93"/>
      <c r="N78" s="93"/>
      <c r="O78" s="93"/>
    </row>
    <row r="79" spans="2:15" ht="16" x14ac:dyDescent="0.2">
      <c r="B79" s="319" t="s">
        <v>60</v>
      </c>
      <c r="C79" s="248" t="s">
        <v>264</v>
      </c>
      <c r="D79" s="224">
        <v>60000</v>
      </c>
      <c r="E79" s="224">
        <v>60000</v>
      </c>
      <c r="F79" s="229"/>
      <c r="G79" s="320">
        <f>SUM(400*100)</f>
        <v>40000</v>
      </c>
      <c r="H79" s="48"/>
      <c r="I79" s="154"/>
      <c r="J79" s="64">
        <f>D79</f>
        <v>60000</v>
      </c>
      <c r="K79" s="157"/>
    </row>
    <row r="80" spans="2:15" ht="16" x14ac:dyDescent="0.2">
      <c r="B80" s="319"/>
      <c r="C80" s="321" t="s">
        <v>286</v>
      </c>
      <c r="D80" s="321"/>
      <c r="E80" s="321"/>
      <c r="F80" s="229">
        <f>SUM(400*100)</f>
        <v>40000</v>
      </c>
      <c r="G80" s="320"/>
      <c r="H80" s="48"/>
      <c r="I80" s="154"/>
      <c r="J80" s="64"/>
      <c r="K80" s="157"/>
    </row>
    <row r="81" spans="2:14" ht="16" x14ac:dyDescent="0.2">
      <c r="B81" s="319" t="s">
        <v>61</v>
      </c>
      <c r="C81" s="248" t="s">
        <v>265</v>
      </c>
      <c r="D81" s="224">
        <v>80000</v>
      </c>
      <c r="E81" s="224">
        <v>80000</v>
      </c>
      <c r="F81" s="229">
        <f>SUM(500*100)</f>
        <v>50000</v>
      </c>
      <c r="G81" s="320">
        <f>SUM(500*100)</f>
        <v>50000</v>
      </c>
      <c r="H81" s="64">
        <v>40000</v>
      </c>
      <c r="I81" s="154"/>
      <c r="J81" s="64">
        <v>20000</v>
      </c>
      <c r="K81" s="157"/>
    </row>
    <row r="82" spans="2:14" ht="16" x14ac:dyDescent="0.2">
      <c r="B82" s="319" t="s">
        <v>244</v>
      </c>
      <c r="C82" s="248"/>
      <c r="D82" s="224">
        <v>100000</v>
      </c>
      <c r="E82" s="224">
        <v>70000</v>
      </c>
      <c r="F82" s="229"/>
      <c r="G82" s="320"/>
      <c r="H82" s="64"/>
      <c r="I82" s="154"/>
      <c r="J82" s="64"/>
      <c r="K82" s="157"/>
    </row>
    <row r="83" spans="2:14" ht="16" x14ac:dyDescent="0.2">
      <c r="B83" s="319" t="s">
        <v>90</v>
      </c>
      <c r="C83" s="227" t="s">
        <v>243</v>
      </c>
      <c r="D83" s="228">
        <v>6000</v>
      </c>
      <c r="E83" s="228">
        <v>5000</v>
      </c>
      <c r="F83" s="229">
        <f>SUM(500*100)</f>
        <v>50000</v>
      </c>
      <c r="G83" s="320">
        <f>SUM(1000*100)</f>
        <v>100000</v>
      </c>
      <c r="H83" s="48"/>
      <c r="I83" s="154"/>
      <c r="J83" s="48"/>
      <c r="K83" s="157"/>
    </row>
    <row r="84" spans="2:14" ht="16" x14ac:dyDescent="0.2">
      <c r="B84" s="319" t="s">
        <v>62</v>
      </c>
      <c r="C84" s="227" t="s">
        <v>115</v>
      </c>
      <c r="D84" s="228">
        <v>5000</v>
      </c>
      <c r="E84" s="228">
        <v>1000</v>
      </c>
      <c r="F84" s="229">
        <f>SUM(500*100)</f>
        <v>50000</v>
      </c>
      <c r="G84" s="320">
        <f>SUM(600*100)</f>
        <v>60000</v>
      </c>
      <c r="H84" s="48"/>
      <c r="I84" s="154"/>
      <c r="J84" s="48"/>
      <c r="K84" s="157"/>
    </row>
    <row r="85" spans="2:14" ht="16" x14ac:dyDescent="0.2">
      <c r="B85" s="319" t="s">
        <v>65</v>
      </c>
      <c r="C85" s="227" t="s">
        <v>116</v>
      </c>
      <c r="D85" s="228">
        <v>5000</v>
      </c>
      <c r="E85" s="228">
        <v>1000</v>
      </c>
      <c r="F85" s="229">
        <f>SUM(300*100)</f>
        <v>30000</v>
      </c>
      <c r="G85" s="320">
        <f>SUM(600*100)</f>
        <v>60000</v>
      </c>
      <c r="H85" s="48"/>
      <c r="I85" s="154"/>
      <c r="J85" s="48"/>
      <c r="K85" s="157"/>
    </row>
    <row r="86" spans="2:14" ht="17" thickBot="1" x14ac:dyDescent="0.25">
      <c r="B86" s="322"/>
      <c r="C86" s="323" t="s">
        <v>9</v>
      </c>
      <c r="D86" s="324">
        <f>SUM(D79:D85)</f>
        <v>256000</v>
      </c>
      <c r="E86" s="324">
        <f>SUM(E79:E85)</f>
        <v>217000</v>
      </c>
      <c r="F86" s="325">
        <f>SUM(F80:F85)</f>
        <v>220000</v>
      </c>
      <c r="G86" s="326"/>
      <c r="H86" s="48"/>
      <c r="I86" s="154"/>
      <c r="J86" s="48"/>
      <c r="K86" s="157"/>
    </row>
    <row r="87" spans="2:14" ht="18" thickTop="1" thickBot="1" x14ac:dyDescent="0.25">
      <c r="B87" s="227"/>
      <c r="C87" s="227"/>
      <c r="D87" s="265"/>
      <c r="E87" s="265"/>
      <c r="F87" s="314"/>
      <c r="G87" s="229"/>
      <c r="H87" s="48"/>
      <c r="I87" s="154"/>
      <c r="J87" s="48"/>
      <c r="K87" s="157"/>
    </row>
    <row r="88" spans="2:14" ht="18" thickTop="1" x14ac:dyDescent="0.2">
      <c r="B88" s="327" t="s">
        <v>241</v>
      </c>
      <c r="C88" s="328" t="s">
        <v>274</v>
      </c>
      <c r="D88" s="329">
        <v>900000</v>
      </c>
      <c r="E88" s="329">
        <v>900000</v>
      </c>
      <c r="F88" s="330">
        <v>1000000</v>
      </c>
      <c r="G88" s="331">
        <f>SUM(G63:G85)</f>
        <v>1390000</v>
      </c>
      <c r="H88" s="48"/>
      <c r="I88" s="154"/>
      <c r="J88" s="64">
        <v>900000</v>
      </c>
      <c r="K88" s="158">
        <v>1000000</v>
      </c>
    </row>
    <row r="89" spans="2:14" ht="17" x14ac:dyDescent="0.2">
      <c r="B89" s="332" t="s">
        <v>242</v>
      </c>
      <c r="C89" s="223" t="s">
        <v>274</v>
      </c>
      <c r="D89" s="224">
        <v>350000</v>
      </c>
      <c r="E89" s="224">
        <v>350000</v>
      </c>
      <c r="F89" s="225">
        <v>450000</v>
      </c>
      <c r="G89" s="333"/>
      <c r="H89" s="48"/>
      <c r="I89" s="154"/>
      <c r="J89" s="64"/>
      <c r="K89" s="158"/>
    </row>
    <row r="90" spans="2:14" ht="18" thickBot="1" x14ac:dyDescent="0.25">
      <c r="B90" s="334"/>
      <c r="C90" s="335" t="s">
        <v>9</v>
      </c>
      <c r="D90" s="336">
        <f>SUM(D88+D89)</f>
        <v>1250000</v>
      </c>
      <c r="E90" s="336">
        <f>SUM(E88+E89)</f>
        <v>1250000</v>
      </c>
      <c r="F90" s="336">
        <f>SUM(F88+E89)</f>
        <v>1350000</v>
      </c>
      <c r="G90" s="337"/>
      <c r="H90" s="48"/>
      <c r="I90" s="154"/>
      <c r="J90" s="48"/>
      <c r="K90" s="157"/>
    </row>
    <row r="91" spans="2:14" ht="17" thickTop="1" x14ac:dyDescent="0.2">
      <c r="C91" s="58"/>
      <c r="D91" s="59"/>
      <c r="E91" s="59"/>
      <c r="F91" s="60"/>
      <c r="G91" s="60"/>
      <c r="H91" s="56"/>
      <c r="I91" s="56"/>
      <c r="J91" s="56"/>
      <c r="K91" s="56"/>
      <c r="M91" s="93"/>
      <c r="N91" s="93"/>
    </row>
    <row r="92" spans="2:14" ht="16" x14ac:dyDescent="0.2">
      <c r="C92" s="100" t="s">
        <v>233</v>
      </c>
      <c r="D92" s="168">
        <f>SUM(D15,D27,D33,D38,D43,D56,D63,D76,D86,D90)</f>
        <v>3252050</v>
      </c>
      <c r="E92" s="168">
        <f>SUM(E15,E27,E33,E38,E43,E56,E63,E76,E86,E90)</f>
        <v>2976540</v>
      </c>
      <c r="F92" s="168">
        <f>SUM(F15,F27,F33,F38,F43,F56,F63,F76,F86,F90)</f>
        <v>4563200</v>
      </c>
      <c r="G92" s="23"/>
      <c r="H92" s="51">
        <f>SUM(H5:H91)</f>
        <v>1075000</v>
      </c>
      <c r="I92" s="51">
        <f>SUM(I4:I90)</f>
        <v>14337</v>
      </c>
      <c r="J92" s="51">
        <f>SUM(J5:J91)</f>
        <v>1505000</v>
      </c>
      <c r="K92" s="159">
        <f>SUM(K3:K90)</f>
        <v>1050000</v>
      </c>
    </row>
    <row r="94" spans="2:14" ht="26" x14ac:dyDescent="0.15">
      <c r="C94" s="14" t="s">
        <v>117</v>
      </c>
      <c r="D94" s="45" t="s">
        <v>161</v>
      </c>
      <c r="E94" s="45" t="s">
        <v>234</v>
      </c>
      <c r="F94" s="96"/>
      <c r="G94" s="96" t="s">
        <v>94</v>
      </c>
      <c r="H94" s="96" t="s">
        <v>94</v>
      </c>
      <c r="I94" s="96"/>
    </row>
    <row r="95" spans="2:14" ht="16" x14ac:dyDescent="0.2">
      <c r="B95" s="38" t="s">
        <v>151</v>
      </c>
      <c r="C95" s="38" t="s">
        <v>94</v>
      </c>
      <c r="D95" s="61">
        <f>D92</f>
        <v>3252050</v>
      </c>
      <c r="E95" s="61">
        <f>E92</f>
        <v>2976540</v>
      </c>
      <c r="F95" s="61"/>
      <c r="G95" s="61" t="s">
        <v>94</v>
      </c>
      <c r="H95" s="61" t="s">
        <v>94</v>
      </c>
      <c r="I95" s="61"/>
    </row>
    <row r="96" spans="2:14" ht="16" x14ac:dyDescent="0.2">
      <c r="C96" t="s">
        <v>162</v>
      </c>
      <c r="D96" s="99">
        <f>(D95/5)</f>
        <v>650410</v>
      </c>
      <c r="E96" s="62">
        <f>(E95/2)</f>
        <v>1488270</v>
      </c>
      <c r="F96" s="37" t="s">
        <v>277</v>
      </c>
      <c r="G96" s="37"/>
      <c r="H96" s="50"/>
      <c r="I96" s="50"/>
    </row>
    <row r="97" spans="2:9" ht="16" x14ac:dyDescent="0.2">
      <c r="C97" s="95"/>
      <c r="D97" s="95"/>
      <c r="E97"/>
      <c r="F97" s="37" t="s">
        <v>276</v>
      </c>
      <c r="G97" s="37"/>
      <c r="H97" s="50"/>
      <c r="I97" s="50"/>
    </row>
    <row r="98" spans="2:9" ht="16" x14ac:dyDescent="0.2">
      <c r="B98" s="67" t="s">
        <v>101</v>
      </c>
      <c r="C98" s="68" t="s">
        <v>102</v>
      </c>
      <c r="D98" s="69" t="s">
        <v>153</v>
      </c>
      <c r="E98" s="70" t="s">
        <v>164</v>
      </c>
      <c r="F98" s="161" t="s">
        <v>275</v>
      </c>
    </row>
    <row r="99" spans="2:9" ht="13" x14ac:dyDescent="0.15">
      <c r="B99" s="68" t="s">
        <v>77</v>
      </c>
      <c r="C99" s="68" t="s">
        <v>97</v>
      </c>
      <c r="D99" s="70">
        <v>6000</v>
      </c>
      <c r="E99" s="70"/>
    </row>
    <row r="100" spans="2:9" ht="13" x14ac:dyDescent="0.15">
      <c r="B100" s="68" t="s">
        <v>78</v>
      </c>
      <c r="C100" s="71">
        <v>2500</v>
      </c>
      <c r="D100" s="70">
        <v>2500</v>
      </c>
      <c r="E100" s="70"/>
    </row>
    <row r="101" spans="2:9" ht="13" x14ac:dyDescent="0.15">
      <c r="B101" s="68" t="s">
        <v>79</v>
      </c>
      <c r="C101" s="71">
        <v>900</v>
      </c>
      <c r="D101" s="70">
        <v>900</v>
      </c>
      <c r="E101" s="70"/>
    </row>
    <row r="102" spans="2:9" ht="13" x14ac:dyDescent="0.15">
      <c r="B102" s="68" t="s">
        <v>80</v>
      </c>
      <c r="C102" s="68" t="s">
        <v>98</v>
      </c>
      <c r="D102" s="70">
        <v>1200</v>
      </c>
      <c r="E102" s="70"/>
    </row>
    <row r="103" spans="2:9" ht="17" x14ac:dyDescent="0.2">
      <c r="B103" s="68"/>
      <c r="C103" s="72" t="s">
        <v>152</v>
      </c>
      <c r="D103" s="73">
        <f>SUM(D99:D102)</f>
        <v>10600</v>
      </c>
      <c r="E103" s="89">
        <f>D103*100</f>
        <v>1060000</v>
      </c>
      <c r="F103" s="3" t="s">
        <v>167</v>
      </c>
    </row>
    <row r="104" spans="2:9" ht="16" x14ac:dyDescent="0.2">
      <c r="B104" s="104"/>
      <c r="C104" s="105"/>
      <c r="D104" s="106"/>
      <c r="E104" s="107"/>
    </row>
    <row r="105" spans="2:9" ht="51" x14ac:dyDescent="0.2">
      <c r="B105" s="108" t="s">
        <v>273</v>
      </c>
      <c r="C105" s="109" t="s">
        <v>210</v>
      </c>
      <c r="D105" s="110" t="s">
        <v>168</v>
      </c>
      <c r="E105" s="111" t="s">
        <v>171</v>
      </c>
      <c r="F105" s="111" t="s">
        <v>169</v>
      </c>
      <c r="G105" s="3" t="s">
        <v>299</v>
      </c>
    </row>
    <row r="106" spans="2:9" ht="16" x14ac:dyDescent="0.2">
      <c r="B106" s="112" t="s">
        <v>287</v>
      </c>
      <c r="C106" s="115">
        <v>100000</v>
      </c>
      <c r="D106" s="115">
        <v>600000</v>
      </c>
      <c r="E106" s="115">
        <f t="shared" ref="E106:F108" si="0">D106+ (D106*0.05)</f>
        <v>630000</v>
      </c>
      <c r="F106" s="115">
        <f t="shared" si="0"/>
        <v>661500</v>
      </c>
    </row>
    <row r="107" spans="2:9" ht="27" x14ac:dyDescent="0.2">
      <c r="B107" s="112" t="s">
        <v>220</v>
      </c>
      <c r="C107" s="115">
        <v>75000</v>
      </c>
      <c r="D107" s="115">
        <v>300000</v>
      </c>
      <c r="E107" s="115">
        <f t="shared" si="0"/>
        <v>315000</v>
      </c>
      <c r="F107" s="115">
        <f t="shared" si="0"/>
        <v>330750</v>
      </c>
    </row>
    <row r="108" spans="2:9" ht="16" x14ac:dyDescent="0.2">
      <c r="B108" s="112" t="s">
        <v>170</v>
      </c>
      <c r="C108" s="115">
        <v>50000</v>
      </c>
      <c r="D108" s="115">
        <v>150000</v>
      </c>
      <c r="E108" s="115">
        <f t="shared" si="0"/>
        <v>157500</v>
      </c>
      <c r="F108" s="115">
        <f t="shared" si="0"/>
        <v>165375</v>
      </c>
    </row>
    <row r="109" spans="2:9" ht="16" x14ac:dyDescent="0.2">
      <c r="B109" s="112" t="s">
        <v>172</v>
      </c>
      <c r="C109" s="116">
        <v>0</v>
      </c>
      <c r="D109" s="115">
        <v>2000000</v>
      </c>
      <c r="E109" s="114">
        <v>6000000</v>
      </c>
      <c r="F109" s="114">
        <v>8000000</v>
      </c>
    </row>
    <row r="110" spans="2:9" ht="16" x14ac:dyDescent="0.2">
      <c r="B110" s="112" t="s">
        <v>173</v>
      </c>
      <c r="C110" s="115">
        <v>0</v>
      </c>
      <c r="D110" s="115">
        <v>1000000</v>
      </c>
      <c r="E110" s="115">
        <v>2000000</v>
      </c>
      <c r="F110" s="115">
        <v>3000000</v>
      </c>
    </row>
    <row r="111" spans="2:9" ht="16" x14ac:dyDescent="0.2">
      <c r="B111" s="120"/>
      <c r="C111" s="121">
        <f>SUM(C106:C110)</f>
        <v>225000</v>
      </c>
      <c r="D111" s="121">
        <f>SUM(D106:D110)</f>
        <v>4050000</v>
      </c>
      <c r="E111" s="113">
        <f>SUM(E106:E110)</f>
        <v>9102500</v>
      </c>
      <c r="F111" s="113">
        <f>SUM(F106:F110)</f>
        <v>12157625</v>
      </c>
    </row>
    <row r="112" spans="2:9" ht="16" x14ac:dyDescent="0.2">
      <c r="B112" s="104"/>
      <c r="C112" s="105"/>
      <c r="D112" s="106"/>
      <c r="E112" s="107"/>
    </row>
    <row r="114" spans="1:14" ht="14" thickBot="1" x14ac:dyDescent="0.2">
      <c r="A114" s="2"/>
      <c r="H114" s="2" t="s">
        <v>94</v>
      </c>
      <c r="I114" s="2"/>
      <c r="J114" s="2"/>
      <c r="K114" s="41"/>
      <c r="L114" s="41"/>
      <c r="M114" s="2"/>
      <c r="N114" s="2"/>
    </row>
    <row r="115" spans="1:14" ht="33" thickTop="1" x14ac:dyDescent="0.2">
      <c r="B115" s="21" t="s">
        <v>176</v>
      </c>
      <c r="C115" s="101"/>
      <c r="D115" s="102" t="s">
        <v>298</v>
      </c>
      <c r="E115" s="103" t="s">
        <v>94</v>
      </c>
      <c r="F115" s="103" t="s">
        <v>300</v>
      </c>
      <c r="G115" s="103" t="s">
        <v>175</v>
      </c>
      <c r="H115" s="358" t="s">
        <v>315</v>
      </c>
      <c r="I115"/>
      <c r="J115" s="3" t="s">
        <v>94</v>
      </c>
    </row>
    <row r="116" spans="1:14" ht="17" x14ac:dyDescent="0.2">
      <c r="B116" s="201" t="s">
        <v>288</v>
      </c>
      <c r="C116" s="202"/>
      <c r="D116" s="203">
        <f>E92+C111</f>
        <v>3201540</v>
      </c>
      <c r="E116" s="201"/>
      <c r="F116" s="201"/>
      <c r="G116" s="201"/>
      <c r="H116" s="204">
        <f>E92/2</f>
        <v>1488270</v>
      </c>
      <c r="I116" t="s">
        <v>316</v>
      </c>
    </row>
    <row r="117" spans="1:14" ht="16" x14ac:dyDescent="0.2">
      <c r="B117" s="74" t="s">
        <v>174</v>
      </c>
      <c r="C117" s="74"/>
      <c r="D117" s="76">
        <f>D95+C111</f>
        <v>3477050</v>
      </c>
      <c r="E117" s="76"/>
      <c r="F117" s="77">
        <f>D92/5</f>
        <v>650410</v>
      </c>
      <c r="G117" s="78" t="s">
        <v>94</v>
      </c>
      <c r="H117" s="204">
        <f>F117</f>
        <v>650410</v>
      </c>
      <c r="I117" s="24" t="s">
        <v>317</v>
      </c>
    </row>
    <row r="118" spans="1:14" ht="16" x14ac:dyDescent="0.2">
      <c r="B118" s="74" t="s">
        <v>177</v>
      </c>
      <c r="C118" s="74" t="s">
        <v>289</v>
      </c>
      <c r="D118" s="76">
        <f>F92+C111+D111</f>
        <v>8838200</v>
      </c>
      <c r="E118" s="75"/>
      <c r="F118" s="79">
        <f>E92/100</f>
        <v>29765.4</v>
      </c>
      <c r="G118" s="80">
        <v>2058320</v>
      </c>
      <c r="H118" s="205">
        <f>(F118+D103)</f>
        <v>40365.4</v>
      </c>
      <c r="I118" s="24" t="s">
        <v>318</v>
      </c>
    </row>
    <row r="119" spans="1:14" ht="16" x14ac:dyDescent="0.2">
      <c r="B119" s="74" t="s">
        <v>178</v>
      </c>
      <c r="C119" s="74" t="s">
        <v>289</v>
      </c>
      <c r="D119" s="76">
        <f>F92+D111+E111</f>
        <v>17715700</v>
      </c>
      <c r="E119" s="75"/>
      <c r="F119" s="79">
        <f>(2*E92/200)</f>
        <v>29765.4</v>
      </c>
      <c r="G119" s="80">
        <v>3207200</v>
      </c>
      <c r="H119" s="205">
        <f>(F119+D103)</f>
        <v>40365.4</v>
      </c>
      <c r="I119" s="24" t="s">
        <v>319</v>
      </c>
    </row>
    <row r="120" spans="1:14" ht="16" x14ac:dyDescent="0.2">
      <c r="B120" s="74" t="s">
        <v>179</v>
      </c>
      <c r="C120" s="74" t="s">
        <v>289</v>
      </c>
      <c r="D120" s="76">
        <f>F92+D111+E111+F111</f>
        <v>29873325</v>
      </c>
      <c r="E120" s="75"/>
      <c r="F120" s="79">
        <f>(3*E92/300)</f>
        <v>29765.4</v>
      </c>
      <c r="G120" s="80"/>
      <c r="H120" s="204">
        <f>D103</f>
        <v>10600</v>
      </c>
      <c r="I120" s="24" t="s">
        <v>320</v>
      </c>
    </row>
    <row r="121" spans="1:14" s="2" customFormat="1" ht="17" thickBot="1" x14ac:dyDescent="0.25">
      <c r="A121" s="3"/>
      <c r="B121" s="74" t="s">
        <v>180</v>
      </c>
      <c r="C121" s="74"/>
      <c r="D121" s="85">
        <v>0</v>
      </c>
      <c r="E121" s="81"/>
      <c r="F121" s="82">
        <f>(D103*10)</f>
        <v>106000</v>
      </c>
      <c r="G121" s="82">
        <f>(D103*100)</f>
        <v>1060000</v>
      </c>
      <c r="H121" s="206" t="s">
        <v>94</v>
      </c>
      <c r="I121" s="3"/>
      <c r="J121" s="3"/>
      <c r="K121" s="48"/>
      <c r="L121" s="48"/>
      <c r="M121" s="3"/>
      <c r="N121" s="3"/>
    </row>
    <row r="122" spans="1:14" ht="19" customHeight="1" thickTop="1" x14ac:dyDescent="0.2">
      <c r="C122" s="39" t="s">
        <v>155</v>
      </c>
      <c r="D122" s="86">
        <f>SUM(D117:D121)</f>
        <v>59904275</v>
      </c>
      <c r="E122" s="38" t="s">
        <v>94</v>
      </c>
      <c r="F122" s="44" t="s">
        <v>94</v>
      </c>
      <c r="H122" s="24"/>
    </row>
    <row r="123" spans="1:14" ht="17" x14ac:dyDescent="0.2">
      <c r="B123" s="2" t="s">
        <v>154</v>
      </c>
      <c r="C123" s="39" t="s">
        <v>156</v>
      </c>
      <c r="D123" s="86">
        <f>D122</f>
        <v>59904275</v>
      </c>
      <c r="E123" s="38"/>
      <c r="F123" s="38" t="s">
        <v>94</v>
      </c>
      <c r="G123" s="38">
        <f>(H118/100)</f>
        <v>403.654</v>
      </c>
      <c r="H123" s="24"/>
    </row>
    <row r="124" spans="1:14" ht="13" thickBot="1" x14ac:dyDescent="0.2">
      <c r="D124" s="87"/>
      <c r="J124" s="3" t="s">
        <v>94</v>
      </c>
    </row>
    <row r="125" spans="1:14" ht="17" thickTop="1" x14ac:dyDescent="0.2">
      <c r="A125" s="22"/>
      <c r="B125" s="181" t="s">
        <v>95</v>
      </c>
      <c r="C125" s="182" t="s">
        <v>157</v>
      </c>
      <c r="D125" s="183" t="s">
        <v>165</v>
      </c>
      <c r="E125" s="184" t="s">
        <v>166</v>
      </c>
      <c r="F125" s="185">
        <v>150000</v>
      </c>
      <c r="G125" s="184">
        <v>200000</v>
      </c>
      <c r="H125" s="184">
        <v>250000</v>
      </c>
      <c r="I125" s="184"/>
      <c r="J125" s="186">
        <v>300000</v>
      </c>
      <c r="K125" s="52"/>
      <c r="L125" s="52"/>
      <c r="M125" s="22"/>
      <c r="N125" s="22"/>
    </row>
    <row r="126" spans="1:14" ht="16" x14ac:dyDescent="0.2">
      <c r="A126" s="22"/>
      <c r="B126" s="187" t="s">
        <v>290</v>
      </c>
      <c r="C126" s="169" t="s">
        <v>291</v>
      </c>
      <c r="D126" s="170"/>
      <c r="E126" s="171"/>
      <c r="F126" s="172"/>
      <c r="G126" s="171"/>
      <c r="H126" s="171"/>
      <c r="I126" s="171"/>
      <c r="J126" s="188"/>
      <c r="K126" s="52"/>
      <c r="L126" s="52"/>
      <c r="M126" s="22"/>
      <c r="N126" s="22"/>
    </row>
    <row r="127" spans="1:14" ht="15" x14ac:dyDescent="0.2">
      <c r="B127" s="189" t="s">
        <v>163</v>
      </c>
      <c r="C127" s="173" t="s">
        <v>158</v>
      </c>
      <c r="D127" s="170">
        <f>D92</f>
        <v>3252050</v>
      </c>
      <c r="E127" s="174">
        <f>D127/5</f>
        <v>650410</v>
      </c>
      <c r="F127" s="175" t="s">
        <v>94</v>
      </c>
      <c r="G127" s="176">
        <v>0</v>
      </c>
      <c r="H127" s="176">
        <v>0</v>
      </c>
      <c r="I127" s="176"/>
      <c r="J127" s="190">
        <v>0</v>
      </c>
    </row>
    <row r="128" spans="1:14" s="22" customFormat="1" ht="15" x14ac:dyDescent="0.2">
      <c r="A128" s="3"/>
      <c r="B128" s="189" t="s">
        <v>295</v>
      </c>
      <c r="C128" s="173" t="s">
        <v>159</v>
      </c>
      <c r="D128" s="170">
        <f>D92+F92 +E103</f>
        <v>8875250</v>
      </c>
      <c r="E128" s="176">
        <f>D128/100</f>
        <v>88752.5</v>
      </c>
      <c r="F128" s="176">
        <f>F125*100</f>
        <v>15000000</v>
      </c>
      <c r="G128" s="176">
        <f>G125*100</f>
        <v>20000000</v>
      </c>
      <c r="H128" s="176">
        <f>H125*100</f>
        <v>25000000</v>
      </c>
      <c r="I128" s="176"/>
      <c r="J128" s="190">
        <f>J125*100</f>
        <v>30000000</v>
      </c>
      <c r="K128" s="48"/>
      <c r="L128" s="48"/>
      <c r="M128" s="3"/>
      <c r="N128" s="3"/>
    </row>
    <row r="129" spans="1:14" s="22" customFormat="1" ht="15" x14ac:dyDescent="0.2">
      <c r="A129" s="3"/>
      <c r="B129" s="189" t="s">
        <v>294</v>
      </c>
      <c r="C129" s="173" t="s">
        <v>159</v>
      </c>
      <c r="D129" s="170">
        <f>D128+F92+E103</f>
        <v>14498450</v>
      </c>
      <c r="E129" s="176">
        <f>D129/200</f>
        <v>72492.25</v>
      </c>
      <c r="F129" s="176">
        <f>F125*200</f>
        <v>30000000</v>
      </c>
      <c r="G129" s="176">
        <f>G125*200</f>
        <v>40000000</v>
      </c>
      <c r="H129" s="176">
        <f>H125*200</f>
        <v>50000000</v>
      </c>
      <c r="I129" s="176"/>
      <c r="J129" s="190">
        <f>J125*200</f>
        <v>60000000</v>
      </c>
      <c r="K129" s="48"/>
      <c r="L129" s="48"/>
      <c r="M129" s="3"/>
      <c r="N129" s="3"/>
    </row>
    <row r="130" spans="1:14" s="22" customFormat="1" ht="15" x14ac:dyDescent="0.2">
      <c r="A130" s="3"/>
      <c r="B130" s="189" t="s">
        <v>293</v>
      </c>
      <c r="C130" s="173" t="s">
        <v>159</v>
      </c>
      <c r="D130" s="170">
        <f>F92+D129+E103</f>
        <v>20121650</v>
      </c>
      <c r="E130" s="176">
        <f>D130/300</f>
        <v>67072.166666666672</v>
      </c>
      <c r="F130" s="176">
        <f>F125*300</f>
        <v>45000000</v>
      </c>
      <c r="G130" s="176">
        <f>G125*300</f>
        <v>60000000</v>
      </c>
      <c r="H130" s="176">
        <f>H125*300</f>
        <v>75000000</v>
      </c>
      <c r="I130" s="176"/>
      <c r="J130" s="190">
        <f>J125*300</f>
        <v>90000000</v>
      </c>
      <c r="K130" s="48"/>
      <c r="L130" s="48"/>
      <c r="M130" s="3"/>
      <c r="N130" s="3"/>
    </row>
    <row r="131" spans="1:14" ht="16" x14ac:dyDescent="0.2">
      <c r="B131" s="191" t="s">
        <v>292</v>
      </c>
      <c r="C131" s="173" t="s">
        <v>159</v>
      </c>
      <c r="D131" s="88" t="s">
        <v>94</v>
      </c>
      <c r="E131" s="83"/>
      <c r="F131" s="84">
        <f>F128-D128</f>
        <v>6124750</v>
      </c>
      <c r="G131" s="84">
        <f>G128-D128</f>
        <v>11124750</v>
      </c>
      <c r="H131" s="84">
        <f>H128-D128</f>
        <v>16124750</v>
      </c>
      <c r="I131" s="84"/>
      <c r="J131" s="192">
        <f>J128-D128</f>
        <v>21124750</v>
      </c>
    </row>
    <row r="132" spans="1:14" ht="16" x14ac:dyDescent="0.2">
      <c r="B132" s="191" t="s">
        <v>296</v>
      </c>
      <c r="C132" s="173" t="s">
        <v>159</v>
      </c>
      <c r="D132" s="90"/>
      <c r="E132" s="91"/>
      <c r="F132" s="84">
        <f>2*F128-D129</f>
        <v>15501550</v>
      </c>
      <c r="G132" s="84">
        <f>2*G128-D129</f>
        <v>25501550</v>
      </c>
      <c r="H132" s="84">
        <f>2*H128-D129</f>
        <v>35501550</v>
      </c>
      <c r="I132" s="84"/>
      <c r="J132" s="192">
        <f>2*J128-D129</f>
        <v>45501550</v>
      </c>
    </row>
    <row r="133" spans="1:14" ht="16" x14ac:dyDescent="0.2">
      <c r="B133" s="191" t="s">
        <v>297</v>
      </c>
      <c r="C133" s="173" t="s">
        <v>159</v>
      </c>
      <c r="D133" s="90"/>
      <c r="E133" s="91"/>
      <c r="F133" s="84">
        <f>3*F128-D130</f>
        <v>24878350</v>
      </c>
      <c r="G133" s="84">
        <f>3*G128-D130</f>
        <v>39878350</v>
      </c>
      <c r="H133" s="84">
        <f>3*H128-D130</f>
        <v>54878350</v>
      </c>
      <c r="I133" s="84"/>
      <c r="J133" s="192">
        <f>3*J128-D130</f>
        <v>69878350</v>
      </c>
    </row>
    <row r="134" spans="1:14" ht="40" x14ac:dyDescent="0.2">
      <c r="B134" s="193" t="s">
        <v>181</v>
      </c>
      <c r="C134" s="177"/>
      <c r="D134" s="178"/>
      <c r="E134" s="179"/>
      <c r="F134" s="180"/>
      <c r="G134" s="180"/>
      <c r="H134" s="180"/>
      <c r="I134" s="180"/>
      <c r="J134" s="194"/>
    </row>
    <row r="135" spans="1:14" ht="16" x14ac:dyDescent="0.2">
      <c r="B135" s="191" t="s">
        <v>292</v>
      </c>
      <c r="C135" s="173" t="s">
        <v>159</v>
      </c>
      <c r="D135" s="88" t="s">
        <v>94</v>
      </c>
      <c r="E135" s="83"/>
      <c r="F135" s="122">
        <f>F128-D128-C111-D111</f>
        <v>1849750</v>
      </c>
      <c r="G135" s="84">
        <f>G128-D128-C111-D111</f>
        <v>6849750</v>
      </c>
      <c r="H135" s="84">
        <f>H128-D128-C111-D111</f>
        <v>11849750</v>
      </c>
      <c r="I135" s="84"/>
      <c r="J135" s="192">
        <f>J128-D128-C111-D111</f>
        <v>16849750</v>
      </c>
    </row>
    <row r="136" spans="1:14" ht="16" x14ac:dyDescent="0.2">
      <c r="B136" s="191" t="s">
        <v>296</v>
      </c>
      <c r="C136" s="173" t="s">
        <v>159</v>
      </c>
      <c r="D136" s="90"/>
      <c r="E136" s="91"/>
      <c r="F136" s="84">
        <f>F129-D129-C111-D111-E111</f>
        <v>2124050</v>
      </c>
      <c r="G136" s="84">
        <f>G129-D129-C111-D111-E111</f>
        <v>12124050</v>
      </c>
      <c r="H136" s="84">
        <f>H129-D129-C111-D111-E111</f>
        <v>22124050</v>
      </c>
      <c r="I136" s="84"/>
      <c r="J136" s="192">
        <f>J129-D129-C111-D111-E111</f>
        <v>32124050</v>
      </c>
    </row>
    <row r="137" spans="1:14" ht="17" thickBot="1" x14ac:dyDescent="0.25">
      <c r="B137" s="195" t="s">
        <v>297</v>
      </c>
      <c r="C137" s="196" t="s">
        <v>159</v>
      </c>
      <c r="D137" s="197"/>
      <c r="E137" s="198"/>
      <c r="F137" s="199">
        <f>F130-D130-C111-D111-E111</f>
        <v>11500850</v>
      </c>
      <c r="G137" s="199">
        <f>G130-D130-C111-D111-E111</f>
        <v>26500850</v>
      </c>
      <c r="H137" s="199">
        <f>H130-D130-C111-D111-E111</f>
        <v>41500850</v>
      </c>
      <c r="I137" s="199"/>
      <c r="J137" s="200">
        <f>J130-D130-C111-D111-E111</f>
        <v>56500850</v>
      </c>
    </row>
    <row r="138" spans="1:14" ht="13" thickTop="1" x14ac:dyDescent="0.15">
      <c r="F138" s="65"/>
      <c r="G138" s="66"/>
      <c r="H138" s="66"/>
      <c r="I138" s="66"/>
      <c r="J138" s="66"/>
    </row>
    <row r="140" spans="1:14" ht="19" x14ac:dyDescent="0.25">
      <c r="A140" s="30"/>
      <c r="B140" s="207"/>
      <c r="C140" s="208"/>
      <c r="D140" s="209"/>
      <c r="E140" s="210"/>
      <c r="F140" s="210"/>
      <c r="G140" s="211"/>
      <c r="H140" s="30"/>
      <c r="I140" s="30"/>
      <c r="J140" s="30"/>
      <c r="K140" s="53"/>
      <c r="L140" s="53"/>
      <c r="M140" s="30"/>
      <c r="N140" s="30"/>
    </row>
    <row r="141" spans="1:14" ht="15" x14ac:dyDescent="0.2">
      <c r="B141" s="104"/>
      <c r="C141" s="27"/>
      <c r="D141" s="212"/>
      <c r="E141" s="213"/>
      <c r="F141" s="93"/>
      <c r="G141" s="213"/>
    </row>
    <row r="142" spans="1:14" ht="15" x14ac:dyDescent="0.2">
      <c r="B142" s="104"/>
      <c r="C142" s="27"/>
      <c r="D142" s="212"/>
      <c r="E142" s="213"/>
      <c r="F142" s="213"/>
      <c r="G142" s="213"/>
    </row>
    <row r="143" spans="1:14" ht="14" x14ac:dyDescent="0.2">
      <c r="C143" s="123"/>
      <c r="D143" s="46"/>
      <c r="E143" s="20"/>
      <c r="F143" s="20"/>
      <c r="G143" s="31"/>
    </row>
    <row r="144" spans="1:14" ht="14" x14ac:dyDescent="0.2">
      <c r="C144" s="123"/>
      <c r="D144" s="46"/>
      <c r="E144" s="20"/>
      <c r="F144" s="20"/>
      <c r="G144" s="31"/>
    </row>
    <row r="145" spans="1:14" ht="15" x14ac:dyDescent="0.2">
      <c r="B145" s="29"/>
      <c r="C145" s="28"/>
    </row>
    <row r="146" spans="1:14" ht="17" customHeight="1" x14ac:dyDescent="0.15">
      <c r="B146" s="2" t="s">
        <v>94</v>
      </c>
      <c r="C146" s="28"/>
    </row>
    <row r="147" spans="1:14" ht="13" x14ac:dyDescent="0.15">
      <c r="B147" s="2" t="s">
        <v>94</v>
      </c>
      <c r="C147" s="28"/>
    </row>
    <row r="148" spans="1:14" ht="13" x14ac:dyDescent="0.15">
      <c r="B148" s="2" t="s">
        <v>94</v>
      </c>
      <c r="C148" s="28"/>
    </row>
    <row r="149" spans="1:14" ht="13" x14ac:dyDescent="0.15">
      <c r="B149" s="2" t="s">
        <v>94</v>
      </c>
    </row>
    <row r="150" spans="1:14" ht="13" x14ac:dyDescent="0.15">
      <c r="B150" s="2" t="s">
        <v>94</v>
      </c>
    </row>
    <row r="151" spans="1:14" s="2" customFormat="1" ht="13" x14ac:dyDescent="0.15">
      <c r="A151" s="3"/>
      <c r="B151" s="2" t="s">
        <v>94</v>
      </c>
      <c r="D151" s="41"/>
      <c r="E151" s="3"/>
      <c r="F151" s="3"/>
      <c r="G151" s="3"/>
      <c r="H151" s="3"/>
      <c r="I151" s="3"/>
      <c r="J151" s="3"/>
      <c r="K151" s="48"/>
      <c r="L151" s="48"/>
      <c r="M151" s="3"/>
      <c r="N151" s="3"/>
    </row>
    <row r="152" spans="1:14" s="2" customFormat="1" ht="13" x14ac:dyDescent="0.15">
      <c r="A152" s="3"/>
      <c r="B152" s="2" t="s">
        <v>94</v>
      </c>
      <c r="D152" s="41"/>
      <c r="E152" s="3"/>
      <c r="F152" s="3"/>
      <c r="G152" s="3"/>
      <c r="H152" s="3"/>
      <c r="I152" s="3"/>
      <c r="J152" s="3"/>
      <c r="K152" s="48"/>
      <c r="L152" s="48"/>
      <c r="M152" s="3"/>
      <c r="N152" s="3"/>
    </row>
    <row r="153" spans="1:14" s="2" customFormat="1" ht="13" x14ac:dyDescent="0.15">
      <c r="A153" s="3"/>
      <c r="B153" s="2" t="s">
        <v>94</v>
      </c>
      <c r="D153" s="41"/>
      <c r="E153" s="3"/>
      <c r="F153" s="3"/>
      <c r="G153" s="3"/>
      <c r="H153" s="3"/>
      <c r="I153" s="3"/>
      <c r="J153" s="3"/>
      <c r="K153" s="48"/>
      <c r="L153" s="48"/>
      <c r="M153" s="3"/>
      <c r="N153" s="3"/>
    </row>
  </sheetData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2EE31-88E8-3C4D-AC06-91C2D7CB8AF9}">
  <dimension ref="A1:I24"/>
  <sheetViews>
    <sheetView tabSelected="1" topLeftCell="A11" zoomScale="217" zoomScaleNormal="217" workbookViewId="0">
      <selection activeCell="B11" sqref="B11"/>
    </sheetView>
  </sheetViews>
  <sheetFormatPr baseColWidth="10" defaultRowHeight="16" x14ac:dyDescent="0.2"/>
  <cols>
    <col min="1" max="1" width="16.33203125" customWidth="1"/>
    <col min="2" max="2" width="16" customWidth="1"/>
    <col min="3" max="3" width="14.83203125" customWidth="1"/>
    <col min="4" max="4" width="13.5" customWidth="1"/>
    <col min="5" max="5" width="11.1640625" customWidth="1"/>
    <col min="6" max="6" width="15.6640625" customWidth="1"/>
    <col min="7" max="7" width="14.33203125" customWidth="1"/>
  </cols>
  <sheetData>
    <row r="1" spans="1:9" ht="34" x14ac:dyDescent="0.2">
      <c r="A1" s="143" t="s">
        <v>186</v>
      </c>
      <c r="B1" s="144" t="s">
        <v>187</v>
      </c>
      <c r="C1" s="144" t="s">
        <v>188</v>
      </c>
      <c r="D1" s="144" t="s">
        <v>223</v>
      </c>
      <c r="E1" s="144" t="s">
        <v>189</v>
      </c>
      <c r="F1" s="355" t="s">
        <v>230</v>
      </c>
      <c r="G1" s="144" t="s">
        <v>190</v>
      </c>
    </row>
    <row r="2" spans="1:9" x14ac:dyDescent="0.2">
      <c r="A2" s="145" t="s">
        <v>1</v>
      </c>
      <c r="B2" t="s">
        <v>191</v>
      </c>
      <c r="C2" t="s">
        <v>193</v>
      </c>
      <c r="D2" t="s">
        <v>194</v>
      </c>
      <c r="E2" s="146">
        <v>200000</v>
      </c>
      <c r="F2" s="353">
        <f>'updated 092520'!E15</f>
        <v>190300</v>
      </c>
      <c r="G2" s="62">
        <f>'updated 092520'!F15</f>
        <v>383200</v>
      </c>
    </row>
    <row r="3" spans="1:9" x14ac:dyDescent="0.2">
      <c r="A3" s="145" t="s">
        <v>198</v>
      </c>
      <c r="B3" t="s">
        <v>222</v>
      </c>
      <c r="C3" s="214" t="s">
        <v>192</v>
      </c>
      <c r="D3" t="s">
        <v>196</v>
      </c>
      <c r="E3" s="146">
        <v>170000</v>
      </c>
      <c r="F3" s="353">
        <f>'updated 092520'!E56</f>
        <v>238000</v>
      </c>
      <c r="G3" s="62">
        <f>'updated 092520'!F56</f>
        <v>365000</v>
      </c>
      <c r="I3">
        <v>80</v>
      </c>
    </row>
    <row r="4" spans="1:9" x14ac:dyDescent="0.2">
      <c r="A4" s="145" t="s">
        <v>308</v>
      </c>
      <c r="C4" s="215" t="s">
        <v>196</v>
      </c>
      <c r="D4" t="s">
        <v>196</v>
      </c>
      <c r="E4" s="146">
        <v>80000</v>
      </c>
      <c r="F4" s="353"/>
      <c r="G4" s="62"/>
      <c r="I4">
        <v>150</v>
      </c>
    </row>
    <row r="5" spans="1:9" x14ac:dyDescent="0.2">
      <c r="A5" s="145"/>
      <c r="C5" s="215"/>
      <c r="E5" s="146"/>
      <c r="F5" s="353"/>
      <c r="G5" s="62"/>
      <c r="I5">
        <v>70</v>
      </c>
    </row>
    <row r="6" spans="1:9" x14ac:dyDescent="0.2">
      <c r="A6" s="145" t="s">
        <v>312</v>
      </c>
      <c r="B6" t="s">
        <v>195</v>
      </c>
      <c r="C6" t="s">
        <v>228</v>
      </c>
      <c r="D6" t="s">
        <v>228</v>
      </c>
      <c r="E6" s="146">
        <v>50000</v>
      </c>
      <c r="F6" s="353">
        <f>'updated 092520'!E27</f>
        <v>113140</v>
      </c>
      <c r="G6" s="62">
        <f>'updated 092520'!F27</f>
        <v>545000</v>
      </c>
      <c r="I6">
        <v>90</v>
      </c>
    </row>
    <row r="7" spans="1:9" x14ac:dyDescent="0.2">
      <c r="A7" s="145" t="s">
        <v>313</v>
      </c>
      <c r="B7" t="s">
        <v>227</v>
      </c>
      <c r="C7" t="s">
        <v>194</v>
      </c>
      <c r="D7" t="s">
        <v>194</v>
      </c>
      <c r="E7" s="146">
        <v>50000</v>
      </c>
      <c r="F7" s="353">
        <f>'updated 092520'!E33</f>
        <v>99500</v>
      </c>
      <c r="G7" s="62">
        <f>'updated 092520'!F33</f>
        <v>70000</v>
      </c>
      <c r="I7">
        <v>90</v>
      </c>
    </row>
    <row r="8" spans="1:9" x14ac:dyDescent="0.2">
      <c r="A8" s="145" t="s">
        <v>314</v>
      </c>
      <c r="E8" s="146"/>
      <c r="F8" s="353">
        <f>'updated 092520'!E38</f>
        <v>105000</v>
      </c>
      <c r="G8" s="62">
        <f>'updated 092520'!F38</f>
        <v>185000</v>
      </c>
      <c r="I8">
        <v>100</v>
      </c>
    </row>
    <row r="9" spans="1:9" x14ac:dyDescent="0.2">
      <c r="A9" s="145" t="s">
        <v>306</v>
      </c>
      <c r="E9" s="146"/>
      <c r="F9" s="353">
        <f>'updated 092520'!E43</f>
        <v>84000</v>
      </c>
      <c r="G9" s="62">
        <f>'updated 092520'!F43</f>
        <v>210000</v>
      </c>
      <c r="I9">
        <v>350</v>
      </c>
    </row>
    <row r="10" spans="1:9" x14ac:dyDescent="0.2">
      <c r="A10" s="216"/>
      <c r="B10" s="40"/>
      <c r="C10" s="40"/>
      <c r="D10" s="40"/>
      <c r="E10" s="217"/>
      <c r="F10" s="354"/>
      <c r="G10" s="217"/>
      <c r="I10">
        <v>200</v>
      </c>
    </row>
    <row r="11" spans="1:9" x14ac:dyDescent="0.2">
      <c r="A11" s="145" t="s">
        <v>54</v>
      </c>
      <c r="B11" t="s">
        <v>221</v>
      </c>
      <c r="C11" t="s">
        <v>194</v>
      </c>
      <c r="D11" t="s">
        <v>196</v>
      </c>
      <c r="E11" s="146">
        <v>55000</v>
      </c>
      <c r="F11" s="353">
        <f>'updated 092520'!E76</f>
        <v>600500</v>
      </c>
      <c r="G11" s="62">
        <f>'updated 092520'!F76</f>
        <v>1145000</v>
      </c>
      <c r="I11">
        <v>250</v>
      </c>
    </row>
    <row r="12" spans="1:9" x14ac:dyDescent="0.2">
      <c r="A12" s="145" t="s">
        <v>307</v>
      </c>
      <c r="B12" t="s">
        <v>199</v>
      </c>
      <c r="C12" t="s">
        <v>192</v>
      </c>
      <c r="D12" t="s">
        <v>194</v>
      </c>
      <c r="E12" s="146">
        <v>5000</v>
      </c>
      <c r="F12" s="353" t="s">
        <v>94</v>
      </c>
      <c r="G12" s="62" t="s">
        <v>94</v>
      </c>
      <c r="I12">
        <v>350</v>
      </c>
    </row>
    <row r="13" spans="1:9" x14ac:dyDescent="0.2">
      <c r="A13" s="40"/>
      <c r="B13" s="40"/>
      <c r="C13" s="40"/>
      <c r="D13" s="40"/>
      <c r="E13" s="40"/>
      <c r="F13" s="354" t="s">
        <v>94</v>
      </c>
      <c r="G13" s="40"/>
      <c r="I13">
        <v>450</v>
      </c>
    </row>
    <row r="14" spans="1:9" x14ac:dyDescent="0.2">
      <c r="A14" s="145" t="s">
        <v>311</v>
      </c>
      <c r="B14" t="s">
        <v>200</v>
      </c>
      <c r="C14" t="s">
        <v>192</v>
      </c>
      <c r="D14" t="s">
        <v>197</v>
      </c>
      <c r="E14" s="146">
        <v>0</v>
      </c>
      <c r="F14" s="353">
        <f>'updated 092520'!E86</f>
        <v>217000</v>
      </c>
      <c r="G14" s="62">
        <f>'updated 092520'!F86</f>
        <v>220000</v>
      </c>
      <c r="I14">
        <v>900</v>
      </c>
    </row>
    <row r="15" spans="1:9" x14ac:dyDescent="0.2">
      <c r="A15" s="145" t="s">
        <v>310</v>
      </c>
      <c r="E15" s="146"/>
      <c r="F15" s="353">
        <f>'updated 092520'!E63</f>
        <v>79100</v>
      </c>
      <c r="G15" s="62">
        <f>'updated 092520'!F63</f>
        <v>90000</v>
      </c>
      <c r="I15">
        <v>100</v>
      </c>
    </row>
    <row r="16" spans="1:9" x14ac:dyDescent="0.2">
      <c r="A16" s="145"/>
      <c r="E16" s="146"/>
      <c r="F16" s="353"/>
      <c r="G16" s="62"/>
      <c r="I16">
        <v>50</v>
      </c>
    </row>
    <row r="17" spans="1:9" x14ac:dyDescent="0.2">
      <c r="A17" s="145" t="s">
        <v>301</v>
      </c>
      <c r="B17" t="s">
        <v>200</v>
      </c>
      <c r="C17" t="s">
        <v>303</v>
      </c>
      <c r="D17" t="s">
        <v>305</v>
      </c>
      <c r="E17" s="146"/>
      <c r="F17" s="353">
        <f>'updated 092520'!E89</f>
        <v>350000</v>
      </c>
      <c r="G17" s="62">
        <f>'updated 092520'!F89</f>
        <v>450000</v>
      </c>
      <c r="I17">
        <v>225</v>
      </c>
    </row>
    <row r="18" spans="1:9" x14ac:dyDescent="0.2">
      <c r="A18" s="145" t="s">
        <v>302</v>
      </c>
      <c r="B18" t="s">
        <v>200</v>
      </c>
      <c r="C18" t="s">
        <v>304</v>
      </c>
      <c r="D18" t="s">
        <v>224</v>
      </c>
      <c r="E18" s="146">
        <v>70000</v>
      </c>
      <c r="F18" s="353">
        <f>'updated 092520'!E88</f>
        <v>900000</v>
      </c>
      <c r="G18" s="62">
        <f>'updated 092520'!F88</f>
        <v>1000000</v>
      </c>
      <c r="I18">
        <f>SUM(I3:I17)</f>
        <v>3455</v>
      </c>
    </row>
    <row r="19" spans="1:9" x14ac:dyDescent="0.2">
      <c r="A19" s="216"/>
      <c r="B19" s="40"/>
      <c r="C19" s="40"/>
      <c r="D19" s="40"/>
      <c r="E19" s="217"/>
      <c r="F19" s="354"/>
      <c r="G19" s="217"/>
    </row>
    <row r="20" spans="1:9" x14ac:dyDescent="0.2">
      <c r="A20" s="145" t="s">
        <v>229</v>
      </c>
      <c r="B20" t="s">
        <v>225</v>
      </c>
      <c r="C20" t="s">
        <v>225</v>
      </c>
      <c r="E20" s="146">
        <v>250000</v>
      </c>
      <c r="F20" s="353" t="s">
        <v>94</v>
      </c>
      <c r="G20" s="62">
        <v>50000</v>
      </c>
    </row>
    <row r="21" spans="1:9" x14ac:dyDescent="0.2">
      <c r="A21" s="145" t="s">
        <v>59</v>
      </c>
      <c r="B21" t="s">
        <v>200</v>
      </c>
      <c r="C21" t="s">
        <v>197</v>
      </c>
      <c r="D21" t="s">
        <v>197</v>
      </c>
      <c r="E21" s="146">
        <v>0</v>
      </c>
      <c r="F21" s="353">
        <v>0</v>
      </c>
      <c r="G21" s="62">
        <v>0</v>
      </c>
    </row>
    <row r="22" spans="1:9" x14ac:dyDescent="0.2">
      <c r="A22" s="145" t="s">
        <v>201</v>
      </c>
      <c r="B22" t="s">
        <v>226</v>
      </c>
      <c r="C22" t="s">
        <v>226</v>
      </c>
      <c r="E22" s="146">
        <v>450000</v>
      </c>
      <c r="F22" s="353">
        <v>225000</v>
      </c>
      <c r="G22" s="62">
        <v>450000</v>
      </c>
    </row>
    <row r="23" spans="1:9" x14ac:dyDescent="0.2">
      <c r="A23" s="147"/>
      <c r="B23" s="148"/>
      <c r="C23" s="148"/>
      <c r="D23" s="148"/>
      <c r="E23" s="149">
        <f>SUM(E2:E22)</f>
        <v>1380000</v>
      </c>
      <c r="F23" s="353">
        <f>SUM(F2:F22)</f>
        <v>3201540</v>
      </c>
      <c r="G23" s="149">
        <f>SUM(G2:G22)</f>
        <v>5163200</v>
      </c>
    </row>
    <row r="24" spans="1:9" x14ac:dyDescent="0.2">
      <c r="A24" s="32"/>
    </row>
  </sheetData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764C-6B34-3843-A927-267541DDDFEA}">
  <dimension ref="A2:F17"/>
  <sheetViews>
    <sheetView workbookViewId="0">
      <selection activeCell="D44" sqref="D44"/>
    </sheetView>
  </sheetViews>
  <sheetFormatPr baseColWidth="10" defaultRowHeight="16" x14ac:dyDescent="0.2"/>
  <cols>
    <col min="1" max="1" width="15.33203125" customWidth="1"/>
    <col min="2" max="2" width="15" customWidth="1"/>
    <col min="3" max="3" width="26.6640625" customWidth="1"/>
    <col min="4" max="4" width="21.6640625" customWidth="1"/>
    <col min="5" max="5" width="13.1640625" customWidth="1"/>
    <col min="6" max="6" width="24.6640625" customWidth="1"/>
  </cols>
  <sheetData>
    <row r="2" spans="1:6" ht="40" x14ac:dyDescent="0.25">
      <c r="A2" s="30" t="s">
        <v>0</v>
      </c>
      <c r="B2" s="124"/>
      <c r="C2" s="124"/>
      <c r="D2" s="125" t="s">
        <v>207</v>
      </c>
      <c r="E2" s="126"/>
      <c r="F2" s="127" t="s">
        <v>182</v>
      </c>
    </row>
    <row r="3" spans="1:6" ht="40" x14ac:dyDescent="0.25">
      <c r="A3" s="127"/>
      <c r="B3" s="128" t="s">
        <v>22</v>
      </c>
      <c r="C3" s="128"/>
      <c r="D3" s="129" t="s">
        <v>100</v>
      </c>
      <c r="E3" s="130"/>
      <c r="F3" s="131" t="s">
        <v>99</v>
      </c>
    </row>
    <row r="4" spans="1:6" ht="20" x14ac:dyDescent="0.25">
      <c r="A4" s="127"/>
      <c r="B4" s="124"/>
      <c r="C4" s="132"/>
      <c r="D4" s="133" t="s">
        <v>160</v>
      </c>
      <c r="E4" s="126"/>
      <c r="F4" s="134" t="s">
        <v>8</v>
      </c>
    </row>
    <row r="5" spans="1:6" ht="40" x14ac:dyDescent="0.25">
      <c r="A5" s="127"/>
      <c r="B5" s="128" t="s">
        <v>1</v>
      </c>
      <c r="C5" s="124" t="s">
        <v>2</v>
      </c>
      <c r="D5" s="135">
        <v>5000</v>
      </c>
      <c r="E5" s="126"/>
      <c r="F5" s="136">
        <v>59000</v>
      </c>
    </row>
    <row r="6" spans="1:6" ht="20" x14ac:dyDescent="0.25">
      <c r="A6" s="127"/>
      <c r="B6" s="124"/>
      <c r="C6" s="137" t="s">
        <v>3</v>
      </c>
      <c r="D6" s="138">
        <v>32000</v>
      </c>
      <c r="E6" s="139"/>
      <c r="F6" s="140">
        <v>13000</v>
      </c>
    </row>
    <row r="7" spans="1:6" ht="20" x14ac:dyDescent="0.25">
      <c r="A7" s="127"/>
      <c r="B7" s="124"/>
      <c r="C7" s="124" t="s">
        <v>4</v>
      </c>
      <c r="D7" s="135">
        <v>5000</v>
      </c>
      <c r="E7" s="126"/>
      <c r="F7" s="136">
        <v>29000</v>
      </c>
    </row>
    <row r="8" spans="1:6" ht="20" x14ac:dyDescent="0.25">
      <c r="A8" s="127"/>
      <c r="B8" s="124"/>
      <c r="C8" s="137" t="s">
        <v>3</v>
      </c>
      <c r="D8" s="138">
        <v>35000</v>
      </c>
      <c r="E8" s="139"/>
      <c r="F8" s="140">
        <v>37000</v>
      </c>
    </row>
    <row r="9" spans="1:6" ht="20" x14ac:dyDescent="0.25">
      <c r="A9" s="127"/>
      <c r="B9" s="124"/>
      <c r="C9" s="124" t="s">
        <v>5</v>
      </c>
      <c r="D9" s="135">
        <v>2500</v>
      </c>
      <c r="E9" s="126"/>
      <c r="F9" s="136">
        <v>7200</v>
      </c>
    </row>
    <row r="10" spans="1:6" ht="20" x14ac:dyDescent="0.25">
      <c r="A10" s="127"/>
      <c r="B10" s="124"/>
      <c r="C10" s="137" t="s">
        <v>3</v>
      </c>
      <c r="D10" s="138">
        <v>43000</v>
      </c>
      <c r="E10" s="139"/>
      <c r="F10" s="140">
        <v>8000</v>
      </c>
    </row>
    <row r="11" spans="1:6" ht="20" x14ac:dyDescent="0.25">
      <c r="A11" s="127"/>
      <c r="B11" s="124"/>
      <c r="C11" s="124" t="s">
        <v>6</v>
      </c>
      <c r="D11" s="135">
        <v>25000</v>
      </c>
      <c r="E11" s="126"/>
      <c r="F11" s="136">
        <v>50000</v>
      </c>
    </row>
    <row r="12" spans="1:6" ht="20" x14ac:dyDescent="0.25">
      <c r="A12" s="127"/>
      <c r="B12" s="124"/>
      <c r="C12" s="124" t="s">
        <v>183</v>
      </c>
      <c r="D12" s="135">
        <v>8400</v>
      </c>
      <c r="E12" s="126"/>
      <c r="F12" s="136">
        <v>84000</v>
      </c>
    </row>
    <row r="13" spans="1:6" ht="20" x14ac:dyDescent="0.25">
      <c r="A13" s="127"/>
      <c r="B13" s="124"/>
      <c r="C13" s="124" t="s">
        <v>11</v>
      </c>
      <c r="D13" s="135">
        <v>4000</v>
      </c>
      <c r="E13" s="126"/>
      <c r="F13" s="136">
        <v>49000</v>
      </c>
    </row>
    <row r="14" spans="1:6" ht="20" x14ac:dyDescent="0.25">
      <c r="A14" s="127"/>
      <c r="B14" s="124"/>
      <c r="C14" s="137" t="s">
        <v>118</v>
      </c>
      <c r="D14" s="138">
        <v>20000</v>
      </c>
      <c r="E14" s="139"/>
      <c r="F14" s="140">
        <v>5000</v>
      </c>
    </row>
    <row r="15" spans="1:6" ht="19" x14ac:dyDescent="0.25">
      <c r="A15" s="127"/>
      <c r="B15" s="124"/>
      <c r="C15" s="141" t="s">
        <v>9</v>
      </c>
      <c r="D15" s="141">
        <f>SUM(D5:D14)</f>
        <v>179900</v>
      </c>
      <c r="E15" s="142"/>
      <c r="F15" s="141">
        <f>SUM(F5:F14)</f>
        <v>341200</v>
      </c>
    </row>
    <row r="16" spans="1:6" x14ac:dyDescent="0.2">
      <c r="A16" t="s">
        <v>209</v>
      </c>
    </row>
    <row r="17" spans="6:6" x14ac:dyDescent="0.2">
      <c r="F17" t="s">
        <v>208</v>
      </c>
    </row>
  </sheetData>
  <phoneticPr fontId="4" type="noConversion"/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6"/>
  <sheetViews>
    <sheetView topLeftCell="A54" zoomScale="150" zoomScaleNormal="150" zoomScalePageLayoutView="150" workbookViewId="0">
      <selection activeCell="H111" sqref="H111"/>
    </sheetView>
  </sheetViews>
  <sheetFormatPr baseColWidth="10" defaultRowHeight="12" x14ac:dyDescent="0.15"/>
  <cols>
    <col min="1" max="1" width="6.6640625" style="3" customWidth="1"/>
    <col min="2" max="3" width="18.1640625" style="2" customWidth="1"/>
    <col min="4" max="4" width="9.5" style="3" customWidth="1"/>
    <col min="5" max="5" width="8.5" style="3" customWidth="1"/>
    <col min="6" max="7" width="9.5" style="3" customWidth="1"/>
    <col min="8" max="16384" width="10.83203125" style="3"/>
  </cols>
  <sheetData>
    <row r="1" spans="1:7" x14ac:dyDescent="0.15">
      <c r="A1" s="1" t="s">
        <v>0</v>
      </c>
    </row>
    <row r="2" spans="1:7" ht="13" x14ac:dyDescent="0.15">
      <c r="B2" s="2" t="s">
        <v>22</v>
      </c>
    </row>
    <row r="3" spans="1:7" x14ac:dyDescent="0.15">
      <c r="C3" s="4"/>
      <c r="D3" s="5" t="s">
        <v>7</v>
      </c>
      <c r="E3" s="5" t="s">
        <v>8</v>
      </c>
      <c r="F3" s="5" t="s">
        <v>68</v>
      </c>
      <c r="G3" s="5" t="s">
        <v>69</v>
      </c>
    </row>
    <row r="4" spans="1:7" ht="13" x14ac:dyDescent="0.15">
      <c r="B4" s="6" t="s">
        <v>1</v>
      </c>
      <c r="C4" s="2" t="s">
        <v>2</v>
      </c>
      <c r="D4" s="3">
        <v>18600</v>
      </c>
      <c r="E4" s="3">
        <v>59000</v>
      </c>
    </row>
    <row r="5" spans="1:7" ht="13" x14ac:dyDescent="0.15">
      <c r="C5" s="2" t="s">
        <v>3</v>
      </c>
      <c r="D5" s="3">
        <v>12000</v>
      </c>
      <c r="E5" s="3">
        <v>13000</v>
      </c>
    </row>
    <row r="6" spans="1:7" ht="13" x14ac:dyDescent="0.15">
      <c r="C6" s="2" t="s">
        <v>4</v>
      </c>
      <c r="D6" s="3">
        <v>15000</v>
      </c>
      <c r="E6" s="3">
        <v>29000</v>
      </c>
    </row>
    <row r="7" spans="1:7" ht="13" x14ac:dyDescent="0.15">
      <c r="C7" s="2" t="s">
        <v>3</v>
      </c>
      <c r="D7" s="3">
        <v>29100</v>
      </c>
      <c r="E7" s="3">
        <v>37000</v>
      </c>
    </row>
    <row r="8" spans="1:7" ht="13" x14ac:dyDescent="0.15">
      <c r="C8" s="2" t="s">
        <v>5</v>
      </c>
      <c r="D8" s="3">
        <v>3720</v>
      </c>
      <c r="E8" s="3">
        <v>7200</v>
      </c>
    </row>
    <row r="9" spans="1:7" ht="13" x14ac:dyDescent="0.15">
      <c r="C9" s="2" t="s">
        <v>3</v>
      </c>
      <c r="D9" s="3">
        <v>8000</v>
      </c>
      <c r="E9" s="3">
        <v>8000</v>
      </c>
    </row>
    <row r="10" spans="1:7" ht="13" x14ac:dyDescent="0.15">
      <c r="C10" s="2" t="s">
        <v>6</v>
      </c>
      <c r="D10" s="3">
        <v>20000</v>
      </c>
      <c r="E10" s="3">
        <v>100000</v>
      </c>
    </row>
    <row r="11" spans="1:7" ht="13" x14ac:dyDescent="0.15">
      <c r="C11" s="2" t="s">
        <v>10</v>
      </c>
      <c r="D11" s="3">
        <v>8400</v>
      </c>
      <c r="E11" s="3">
        <v>84000</v>
      </c>
    </row>
    <row r="12" spans="1:7" ht="13" x14ac:dyDescent="0.15">
      <c r="C12" s="2" t="s">
        <v>11</v>
      </c>
      <c r="D12" s="3">
        <v>7400</v>
      </c>
      <c r="E12" s="3">
        <v>49000</v>
      </c>
    </row>
    <row r="13" spans="1:7" ht="13" x14ac:dyDescent="0.15">
      <c r="C13" s="2" t="s">
        <v>3</v>
      </c>
      <c r="D13" s="3">
        <v>5000</v>
      </c>
      <c r="E13" s="3">
        <v>5000</v>
      </c>
    </row>
    <row r="14" spans="1:7" ht="13" x14ac:dyDescent="0.15">
      <c r="C14" s="7" t="s">
        <v>9</v>
      </c>
      <c r="D14" s="8">
        <f>SUM(D4:D13)</f>
        <v>127220</v>
      </c>
      <c r="E14" s="8">
        <f>SUM(E4:E13)</f>
        <v>391200</v>
      </c>
      <c r="F14" s="3">
        <f>D14</f>
        <v>127220</v>
      </c>
      <c r="G14" s="3">
        <f>E14</f>
        <v>391200</v>
      </c>
    </row>
    <row r="16" spans="1:7" ht="13" x14ac:dyDescent="0.15">
      <c r="B16" s="6" t="s">
        <v>93</v>
      </c>
      <c r="C16" s="7" t="s">
        <v>12</v>
      </c>
      <c r="D16" s="8">
        <v>100000</v>
      </c>
      <c r="E16" s="9">
        <v>250000</v>
      </c>
      <c r="F16" s="3">
        <f>D16</f>
        <v>100000</v>
      </c>
      <c r="G16" s="3">
        <f>E16</f>
        <v>250000</v>
      </c>
    </row>
    <row r="17" spans="2:7" ht="13" x14ac:dyDescent="0.15">
      <c r="C17" s="2" t="s">
        <v>13</v>
      </c>
    </row>
    <row r="19" spans="2:7" ht="13" x14ac:dyDescent="0.15">
      <c r="B19" s="6" t="s">
        <v>14</v>
      </c>
      <c r="C19" s="2" t="s">
        <v>15</v>
      </c>
      <c r="D19" s="3">
        <v>23400</v>
      </c>
      <c r="E19" s="3">
        <v>165000</v>
      </c>
    </row>
    <row r="20" spans="2:7" ht="13" x14ac:dyDescent="0.15">
      <c r="C20" s="2" t="s">
        <v>16</v>
      </c>
      <c r="D20" s="3">
        <v>1500</v>
      </c>
      <c r="E20" s="3">
        <v>11100</v>
      </c>
    </row>
    <row r="21" spans="2:7" ht="13" x14ac:dyDescent="0.15">
      <c r="C21" s="2" t="s">
        <v>17</v>
      </c>
      <c r="D21" s="3">
        <v>32000</v>
      </c>
      <c r="E21" s="3">
        <v>231000</v>
      </c>
    </row>
    <row r="22" spans="2:7" ht="13" x14ac:dyDescent="0.15">
      <c r="C22" s="2" t="s">
        <v>18</v>
      </c>
      <c r="D22" s="3">
        <v>1000</v>
      </c>
      <c r="E22" s="3">
        <v>9000</v>
      </c>
    </row>
    <row r="23" spans="2:7" ht="13" x14ac:dyDescent="0.15">
      <c r="C23" s="2" t="s">
        <v>19</v>
      </c>
      <c r="D23" s="3">
        <v>1000</v>
      </c>
      <c r="E23" s="3">
        <v>9000</v>
      </c>
    </row>
    <row r="24" spans="2:7" ht="13" x14ac:dyDescent="0.15">
      <c r="C24" s="2" t="s">
        <v>20</v>
      </c>
      <c r="D24" s="3">
        <v>2000</v>
      </c>
      <c r="E24" s="3">
        <v>18000</v>
      </c>
    </row>
    <row r="25" spans="2:7" ht="13" x14ac:dyDescent="0.15">
      <c r="C25" s="7" t="s">
        <v>21</v>
      </c>
      <c r="D25" s="8">
        <f>SUM(D19:D24)</f>
        <v>60900</v>
      </c>
      <c r="E25" s="8">
        <f>SUM(E19:E24)</f>
        <v>443100</v>
      </c>
      <c r="F25" s="3">
        <f>D25</f>
        <v>60900</v>
      </c>
      <c r="G25" s="3">
        <f>E25</f>
        <v>443100</v>
      </c>
    </row>
    <row r="28" spans="2:7" ht="13" x14ac:dyDescent="0.15">
      <c r="B28" s="6" t="s">
        <v>23</v>
      </c>
      <c r="C28" s="2" t="s">
        <v>24</v>
      </c>
      <c r="D28" s="3">
        <v>5000</v>
      </c>
      <c r="E28" s="3">
        <v>50000</v>
      </c>
    </row>
    <row r="29" spans="2:7" ht="13" x14ac:dyDescent="0.15">
      <c r="C29" s="2" t="s">
        <v>25</v>
      </c>
      <c r="D29" s="3">
        <v>5000</v>
      </c>
      <c r="E29" s="3">
        <v>15000</v>
      </c>
    </row>
    <row r="30" spans="2:7" ht="26" x14ac:dyDescent="0.15">
      <c r="C30" s="2" t="s">
        <v>89</v>
      </c>
      <c r="D30" s="19">
        <v>75000</v>
      </c>
    </row>
    <row r="31" spans="2:7" ht="13" x14ac:dyDescent="0.15">
      <c r="C31" s="7" t="s">
        <v>9</v>
      </c>
      <c r="D31" s="8">
        <f>SUM(D28:D30)</f>
        <v>85000</v>
      </c>
      <c r="E31" s="8">
        <f>SUM(E28:E30)</f>
        <v>65000</v>
      </c>
      <c r="F31" s="3">
        <f>D31</f>
        <v>85000</v>
      </c>
      <c r="G31" s="3">
        <f>E31</f>
        <v>65000</v>
      </c>
    </row>
    <row r="33" spans="2:7" ht="13" x14ac:dyDescent="0.15">
      <c r="B33" s="6" t="s">
        <v>26</v>
      </c>
      <c r="C33" s="2" t="s">
        <v>27</v>
      </c>
      <c r="D33" s="10">
        <v>10000</v>
      </c>
      <c r="E33" s="3">
        <v>71000</v>
      </c>
    </row>
    <row r="34" spans="2:7" ht="13" x14ac:dyDescent="0.15">
      <c r="C34" s="2" t="s">
        <v>28</v>
      </c>
      <c r="D34" s="3">
        <v>20000</v>
      </c>
      <c r="E34" s="10">
        <v>200000</v>
      </c>
    </row>
    <row r="35" spans="2:7" ht="13" x14ac:dyDescent="0.15">
      <c r="C35" s="2" t="s">
        <v>88</v>
      </c>
      <c r="D35" s="19">
        <v>10000</v>
      </c>
    </row>
    <row r="36" spans="2:7" ht="13" x14ac:dyDescent="0.15">
      <c r="C36" s="7" t="s">
        <v>9</v>
      </c>
      <c r="D36" s="9">
        <f>SUM(D33:D35)</f>
        <v>40000</v>
      </c>
      <c r="E36" s="8">
        <f>SUM(E33:E35)</f>
        <v>271000</v>
      </c>
      <c r="F36" s="3">
        <f>D36</f>
        <v>40000</v>
      </c>
      <c r="G36" s="3">
        <f>E36</f>
        <v>271000</v>
      </c>
    </row>
    <row r="39" spans="2:7" ht="13" x14ac:dyDescent="0.15">
      <c r="B39" s="6" t="s">
        <v>29</v>
      </c>
    </row>
    <row r="40" spans="2:7" ht="13" x14ac:dyDescent="0.15">
      <c r="B40" s="2" t="s">
        <v>30</v>
      </c>
      <c r="C40" s="2" t="s">
        <v>40</v>
      </c>
      <c r="D40" s="3">
        <f>SUM(25*60)</f>
        <v>1500</v>
      </c>
      <c r="E40" s="3">
        <f>SUM(16*600)</f>
        <v>9600</v>
      </c>
    </row>
    <row r="41" spans="2:7" ht="13" x14ac:dyDescent="0.15">
      <c r="B41" s="2" t="s">
        <v>36</v>
      </c>
      <c r="C41" s="2" t="s">
        <v>35</v>
      </c>
      <c r="D41" s="3">
        <f>SUM(650*60)</f>
        <v>39000</v>
      </c>
      <c r="E41" s="3">
        <f>SUM(650*600)</f>
        <v>390000</v>
      </c>
    </row>
    <row r="42" spans="2:7" ht="13" x14ac:dyDescent="0.15">
      <c r="B42" s="2" t="s">
        <v>37</v>
      </c>
      <c r="C42" s="2" t="s">
        <v>41</v>
      </c>
      <c r="D42" s="3">
        <v>1500</v>
      </c>
      <c r="E42" s="3">
        <v>15000</v>
      </c>
    </row>
    <row r="43" spans="2:7" ht="13" x14ac:dyDescent="0.15">
      <c r="C43" s="7" t="s">
        <v>44</v>
      </c>
      <c r="D43" s="8">
        <f>SUM(D40:D42)</f>
        <v>42000</v>
      </c>
      <c r="E43" s="8">
        <f>SUM(E40:E42)</f>
        <v>414600</v>
      </c>
      <c r="F43" s="3">
        <f>D43</f>
        <v>42000</v>
      </c>
      <c r="G43" s="3">
        <f>E43</f>
        <v>414600</v>
      </c>
    </row>
    <row r="45" spans="2:7" ht="13" x14ac:dyDescent="0.15">
      <c r="B45" s="2" t="s">
        <v>33</v>
      </c>
      <c r="C45" s="2" t="s">
        <v>31</v>
      </c>
      <c r="D45" s="3">
        <f>SUM(80*10)</f>
        <v>800</v>
      </c>
      <c r="E45" s="3">
        <f>SUM(50*100)</f>
        <v>5000</v>
      </c>
    </row>
    <row r="46" spans="2:7" ht="13" x14ac:dyDescent="0.15">
      <c r="B46" s="2" t="s">
        <v>38</v>
      </c>
      <c r="C46" s="2" t="s">
        <v>32</v>
      </c>
      <c r="D46" s="3">
        <f>SUM(500*10)</f>
        <v>5000</v>
      </c>
      <c r="E46" s="3">
        <f>SUM(300*100)</f>
        <v>30000</v>
      </c>
    </row>
    <row r="47" spans="2:7" ht="13" x14ac:dyDescent="0.15">
      <c r="B47" s="2" t="s">
        <v>39</v>
      </c>
      <c r="C47" s="2" t="s">
        <v>41</v>
      </c>
      <c r="D47" s="3">
        <v>500</v>
      </c>
      <c r="E47" s="3">
        <v>2000</v>
      </c>
    </row>
    <row r="48" spans="2:7" ht="13" x14ac:dyDescent="0.15">
      <c r="C48" s="7" t="s">
        <v>43</v>
      </c>
      <c r="D48" s="8">
        <f>SUM(D45:D47)</f>
        <v>6300</v>
      </c>
      <c r="E48" s="8">
        <f>SUM(E45:E47)</f>
        <v>37000</v>
      </c>
      <c r="F48" s="3">
        <f>D48</f>
        <v>6300</v>
      </c>
      <c r="G48" s="3">
        <f>E48</f>
        <v>37000</v>
      </c>
    </row>
    <row r="50" spans="2:7" ht="26" x14ac:dyDescent="0.15">
      <c r="B50" s="11" t="s">
        <v>34</v>
      </c>
      <c r="C50" s="2" t="s">
        <v>31</v>
      </c>
      <c r="D50" s="3">
        <f>SUM(80*10)</f>
        <v>800</v>
      </c>
      <c r="E50" s="3">
        <f>SUM(50*100)</f>
        <v>5000</v>
      </c>
    </row>
    <row r="51" spans="2:7" ht="13" x14ac:dyDescent="0.15">
      <c r="B51" s="2" t="s">
        <v>38</v>
      </c>
      <c r="C51" s="2" t="s">
        <v>32</v>
      </c>
      <c r="D51" s="3">
        <f>SUM(500*10)</f>
        <v>5000</v>
      </c>
      <c r="E51" s="3">
        <f>SUM(300*100)</f>
        <v>30000</v>
      </c>
    </row>
    <row r="52" spans="2:7" ht="13" x14ac:dyDescent="0.15">
      <c r="B52" s="2" t="s">
        <v>39</v>
      </c>
      <c r="C52" s="2" t="s">
        <v>41</v>
      </c>
      <c r="D52" s="3">
        <v>1000</v>
      </c>
      <c r="E52" s="3">
        <v>10000</v>
      </c>
    </row>
    <row r="53" spans="2:7" ht="13" x14ac:dyDescent="0.15">
      <c r="C53" s="7" t="s">
        <v>42</v>
      </c>
      <c r="D53" s="8">
        <f>SUM(D50:D52)</f>
        <v>6800</v>
      </c>
      <c r="E53" s="8">
        <f>SUM(E50:E52)</f>
        <v>45000</v>
      </c>
      <c r="F53" s="3">
        <f>D53</f>
        <v>6800</v>
      </c>
      <c r="G53" s="3">
        <f>E53</f>
        <v>45000</v>
      </c>
    </row>
    <row r="55" spans="2:7" ht="13" x14ac:dyDescent="0.15">
      <c r="B55" s="2" t="s">
        <v>45</v>
      </c>
      <c r="C55" s="2" t="s">
        <v>46</v>
      </c>
      <c r="D55" s="8">
        <v>1000</v>
      </c>
      <c r="E55" s="8">
        <v>10000</v>
      </c>
      <c r="F55" s="3">
        <f>D55</f>
        <v>1000</v>
      </c>
      <c r="G55" s="3">
        <f>E55</f>
        <v>10000</v>
      </c>
    </row>
    <row r="57" spans="2:7" ht="13" x14ac:dyDescent="0.15">
      <c r="B57" s="2" t="s">
        <v>47</v>
      </c>
      <c r="C57" s="2" t="s">
        <v>49</v>
      </c>
      <c r="D57" s="8">
        <v>2000</v>
      </c>
      <c r="E57" s="8">
        <v>20000</v>
      </c>
      <c r="F57" s="3">
        <f>D57</f>
        <v>2000</v>
      </c>
      <c r="G57" s="3">
        <f>E57</f>
        <v>20000</v>
      </c>
    </row>
    <row r="59" spans="2:7" ht="13" x14ac:dyDescent="0.15">
      <c r="B59" s="2" t="s">
        <v>48</v>
      </c>
      <c r="C59" s="2" t="s">
        <v>49</v>
      </c>
      <c r="D59" s="8">
        <v>2000</v>
      </c>
      <c r="E59" s="8">
        <v>20000</v>
      </c>
      <c r="F59" s="3">
        <f>D59</f>
        <v>2000</v>
      </c>
      <c r="G59" s="3">
        <f>E59</f>
        <v>20000</v>
      </c>
    </row>
    <row r="61" spans="2:7" ht="13" x14ac:dyDescent="0.15">
      <c r="B61" s="2" t="s">
        <v>50</v>
      </c>
      <c r="C61" s="2" t="s">
        <v>76</v>
      </c>
      <c r="D61" s="8">
        <f>SUM(1500*10)</f>
        <v>15000</v>
      </c>
      <c r="E61" s="8">
        <f>SUM(1200*100)</f>
        <v>120000</v>
      </c>
      <c r="F61" s="3">
        <f>D61</f>
        <v>15000</v>
      </c>
      <c r="G61" s="3">
        <f>E61</f>
        <v>120000</v>
      </c>
    </row>
    <row r="63" spans="2:7" ht="13" x14ac:dyDescent="0.15">
      <c r="B63" s="2" t="s">
        <v>51</v>
      </c>
      <c r="C63" s="2" t="s">
        <v>52</v>
      </c>
      <c r="D63" s="8">
        <f>SUM(1500*10)</f>
        <v>15000</v>
      </c>
      <c r="E63" s="8">
        <f>SUM(1000*100)</f>
        <v>100000</v>
      </c>
      <c r="F63" s="3">
        <f>D63</f>
        <v>15000</v>
      </c>
      <c r="G63" s="3">
        <f>E63</f>
        <v>100000</v>
      </c>
    </row>
    <row r="65" spans="2:7" ht="13" x14ac:dyDescent="0.15">
      <c r="B65" s="6" t="s">
        <v>53</v>
      </c>
    </row>
    <row r="66" spans="2:7" ht="13" x14ac:dyDescent="0.15">
      <c r="B66" s="2" t="s">
        <v>54</v>
      </c>
      <c r="C66" s="2" t="s">
        <v>74</v>
      </c>
      <c r="D66" s="16">
        <v>250000</v>
      </c>
      <c r="E66" s="8"/>
      <c r="F66" s="18">
        <v>250000</v>
      </c>
    </row>
    <row r="67" spans="2:7" ht="13" x14ac:dyDescent="0.15">
      <c r="C67" s="2" t="s">
        <v>71</v>
      </c>
      <c r="D67" s="8">
        <f>SUM(5000*10)</f>
        <v>50000</v>
      </c>
      <c r="E67" s="8">
        <f>SUM(2000*100)</f>
        <v>200000</v>
      </c>
      <c r="F67" s="3">
        <f t="shared" ref="F67:G77" si="0">D67</f>
        <v>50000</v>
      </c>
      <c r="G67" s="3">
        <f t="shared" si="0"/>
        <v>200000</v>
      </c>
    </row>
    <row r="68" spans="2:7" ht="13" x14ac:dyDescent="0.15">
      <c r="C68" s="2" t="s">
        <v>57</v>
      </c>
      <c r="D68" s="8">
        <f>SUM(1000*10)</f>
        <v>10000</v>
      </c>
      <c r="E68" s="8">
        <f>SUM(1000*100)</f>
        <v>100000</v>
      </c>
      <c r="F68" s="3">
        <f t="shared" si="0"/>
        <v>10000</v>
      </c>
      <c r="G68" s="3">
        <f t="shared" si="0"/>
        <v>100000</v>
      </c>
    </row>
    <row r="69" spans="2:7" ht="13" x14ac:dyDescent="0.15">
      <c r="C69" s="2" t="s">
        <v>58</v>
      </c>
      <c r="D69" s="8">
        <f>SUM(2000*10)</f>
        <v>20000</v>
      </c>
      <c r="E69" s="8">
        <f>SUM(2000*100)</f>
        <v>200000</v>
      </c>
      <c r="F69" s="3">
        <f t="shared" si="0"/>
        <v>20000</v>
      </c>
      <c r="G69" s="3">
        <f t="shared" si="0"/>
        <v>200000</v>
      </c>
    </row>
    <row r="70" spans="2:7" ht="13" x14ac:dyDescent="0.15">
      <c r="C70" s="2" t="s">
        <v>72</v>
      </c>
      <c r="D70" s="8">
        <f>SUM(1000*10)</f>
        <v>10000</v>
      </c>
      <c r="E70" s="8">
        <f>SUM(1000*100)</f>
        <v>100000</v>
      </c>
      <c r="F70" s="3">
        <f t="shared" si="0"/>
        <v>10000</v>
      </c>
      <c r="G70" s="3">
        <f t="shared" si="0"/>
        <v>100000</v>
      </c>
    </row>
    <row r="71" spans="2:7" ht="13" x14ac:dyDescent="0.15">
      <c r="C71" s="2" t="s">
        <v>73</v>
      </c>
      <c r="D71" s="16">
        <v>50000</v>
      </c>
      <c r="E71" s="8"/>
      <c r="F71" s="17">
        <f t="shared" si="0"/>
        <v>50000</v>
      </c>
      <c r="G71" s="3">
        <f t="shared" si="0"/>
        <v>0</v>
      </c>
    </row>
    <row r="72" spans="2:7" ht="13" x14ac:dyDescent="0.15">
      <c r="C72" s="2" t="s">
        <v>75</v>
      </c>
      <c r="D72" s="16">
        <v>200000</v>
      </c>
      <c r="E72" s="8"/>
      <c r="F72" s="17">
        <f t="shared" si="0"/>
        <v>200000</v>
      </c>
      <c r="G72" s="3">
        <f t="shared" si="0"/>
        <v>0</v>
      </c>
    </row>
    <row r="73" spans="2:7" ht="13" x14ac:dyDescent="0.15">
      <c r="C73" s="2" t="s">
        <v>55</v>
      </c>
      <c r="D73" s="8">
        <f>SUM(1500*10)</f>
        <v>15000</v>
      </c>
      <c r="E73" s="8">
        <f>SUM(900*100)</f>
        <v>90000</v>
      </c>
      <c r="F73" s="3">
        <f t="shared" si="0"/>
        <v>15000</v>
      </c>
      <c r="G73" s="3">
        <f t="shared" si="0"/>
        <v>90000</v>
      </c>
    </row>
    <row r="74" spans="2:7" ht="13" x14ac:dyDescent="0.15">
      <c r="C74" s="2" t="s">
        <v>59</v>
      </c>
      <c r="D74" s="8">
        <f>SUM(2000*10)</f>
        <v>20000</v>
      </c>
      <c r="E74" s="8">
        <f>SUM(2000*100)</f>
        <v>200000</v>
      </c>
      <c r="F74" s="3">
        <f t="shared" si="0"/>
        <v>20000</v>
      </c>
      <c r="G74" s="3">
        <f t="shared" si="0"/>
        <v>200000</v>
      </c>
    </row>
    <row r="75" spans="2:7" ht="13" x14ac:dyDescent="0.15">
      <c r="C75" s="2" t="s">
        <v>56</v>
      </c>
      <c r="D75" s="8">
        <f>SUM(100*10)</f>
        <v>1000</v>
      </c>
      <c r="E75" s="8">
        <f>SUM(75*100)</f>
        <v>7500</v>
      </c>
      <c r="F75" s="3">
        <f t="shared" si="0"/>
        <v>1000</v>
      </c>
      <c r="G75" s="3">
        <f t="shared" si="0"/>
        <v>7500</v>
      </c>
    </row>
    <row r="76" spans="2:7" ht="13" x14ac:dyDescent="0.15">
      <c r="C76" s="2" t="s">
        <v>67</v>
      </c>
      <c r="D76" s="8">
        <f>SUM(100*10)</f>
        <v>1000</v>
      </c>
      <c r="E76" s="8">
        <f>SUM(100*100)</f>
        <v>10000</v>
      </c>
      <c r="F76" s="3">
        <f t="shared" si="0"/>
        <v>1000</v>
      </c>
      <c r="G76" s="3">
        <f t="shared" si="0"/>
        <v>10000</v>
      </c>
    </row>
    <row r="77" spans="2:7" ht="13" x14ac:dyDescent="0.15">
      <c r="C77" s="2" t="s">
        <v>92</v>
      </c>
      <c r="D77" s="8">
        <f>SUM(100*10)</f>
        <v>1000</v>
      </c>
      <c r="E77" s="8">
        <f>SUM(100*100)</f>
        <v>10000</v>
      </c>
      <c r="F77" s="3">
        <f t="shared" si="0"/>
        <v>1000</v>
      </c>
      <c r="G77" s="3">
        <f t="shared" si="0"/>
        <v>10000</v>
      </c>
    </row>
    <row r="79" spans="2:7" ht="13" x14ac:dyDescent="0.15">
      <c r="B79" s="2" t="s">
        <v>60</v>
      </c>
      <c r="C79" s="2" t="s">
        <v>63</v>
      </c>
      <c r="D79" s="8">
        <v>50000</v>
      </c>
      <c r="E79" s="8">
        <f>SUM(400*100)</f>
        <v>40000</v>
      </c>
      <c r="F79" s="3">
        <f t="shared" ref="F79:G81" si="1">D79</f>
        <v>50000</v>
      </c>
      <c r="G79" s="3">
        <f t="shared" si="1"/>
        <v>40000</v>
      </c>
    </row>
    <row r="80" spans="2:7" ht="13" x14ac:dyDescent="0.15">
      <c r="B80" s="2" t="s">
        <v>61</v>
      </c>
      <c r="C80" s="2" t="s">
        <v>64</v>
      </c>
      <c r="D80" s="8">
        <v>150000</v>
      </c>
      <c r="E80" s="8">
        <f>SUM(800*100)</f>
        <v>80000</v>
      </c>
      <c r="F80" s="3">
        <f t="shared" si="1"/>
        <v>150000</v>
      </c>
      <c r="G80" s="3">
        <f t="shared" si="1"/>
        <v>80000</v>
      </c>
    </row>
    <row r="81" spans="2:7" ht="13" x14ac:dyDescent="0.15">
      <c r="B81" s="2" t="s">
        <v>90</v>
      </c>
      <c r="C81" s="2" t="s">
        <v>91</v>
      </c>
      <c r="D81" s="8">
        <f>SUM(1000*10)</f>
        <v>10000</v>
      </c>
      <c r="E81" s="8">
        <f>SUM(500*100)</f>
        <v>50000</v>
      </c>
      <c r="F81" s="3">
        <f t="shared" si="1"/>
        <v>10000</v>
      </c>
      <c r="G81" s="3">
        <f t="shared" si="1"/>
        <v>50000</v>
      </c>
    </row>
    <row r="83" spans="2:7" ht="13" x14ac:dyDescent="0.15">
      <c r="B83" s="2" t="s">
        <v>62</v>
      </c>
      <c r="C83" s="2" t="s">
        <v>87</v>
      </c>
      <c r="D83" s="8">
        <f>SUM(800*10)</f>
        <v>8000</v>
      </c>
      <c r="E83" s="8">
        <f>SUM(700*100)</f>
        <v>70000</v>
      </c>
      <c r="F83" s="3">
        <f>D83</f>
        <v>8000</v>
      </c>
      <c r="G83" s="3">
        <f>E83</f>
        <v>70000</v>
      </c>
    </row>
    <row r="84" spans="2:7" ht="13" x14ac:dyDescent="0.15">
      <c r="B84" s="2" t="s">
        <v>65</v>
      </c>
      <c r="C84" s="2" t="s">
        <v>66</v>
      </c>
      <c r="D84" s="8">
        <f>SUM(800*100)</f>
        <v>80000</v>
      </c>
      <c r="E84" s="8">
        <f>SUM(600*100)</f>
        <v>60000</v>
      </c>
      <c r="F84" s="3">
        <f>D84</f>
        <v>80000</v>
      </c>
      <c r="G84" s="3">
        <f>E84</f>
        <v>60000</v>
      </c>
    </row>
    <row r="85" spans="2:7" ht="13" x14ac:dyDescent="0.15">
      <c r="C85" s="12" t="s">
        <v>9</v>
      </c>
      <c r="D85" s="13"/>
      <c r="E85" s="13"/>
      <c r="F85" s="13">
        <f>SUM(F14:F84)</f>
        <v>1429220</v>
      </c>
      <c r="G85" s="13">
        <f>SUM(G14:G84)</f>
        <v>3404400</v>
      </c>
    </row>
    <row r="87" spans="2:7" ht="13" x14ac:dyDescent="0.15">
      <c r="C87" s="14" t="s">
        <v>70</v>
      </c>
      <c r="D87" s="15"/>
      <c r="E87" s="15"/>
      <c r="F87" s="15">
        <f>SUM(F85/10)</f>
        <v>142922</v>
      </c>
      <c r="G87" s="15">
        <f>SUM(G85/100)</f>
        <v>34044</v>
      </c>
    </row>
    <row r="89" spans="2:7" ht="13" x14ac:dyDescent="0.15">
      <c r="B89" s="2" t="s">
        <v>77</v>
      </c>
      <c r="C89" s="2" t="s">
        <v>85</v>
      </c>
      <c r="D89" s="3">
        <v>4500</v>
      </c>
    </row>
    <row r="90" spans="2:7" ht="13" x14ac:dyDescent="0.15">
      <c r="B90" s="2" t="s">
        <v>78</v>
      </c>
      <c r="C90" s="2" t="s">
        <v>81</v>
      </c>
      <c r="D90" s="3">
        <v>1000</v>
      </c>
    </row>
    <row r="91" spans="2:7" ht="13" x14ac:dyDescent="0.15">
      <c r="B91" s="2" t="s">
        <v>79</v>
      </c>
      <c r="C91" s="2" t="s">
        <v>82</v>
      </c>
      <c r="D91" s="3">
        <v>500</v>
      </c>
    </row>
    <row r="92" spans="2:7" ht="13" x14ac:dyDescent="0.15">
      <c r="B92" s="2" t="s">
        <v>80</v>
      </c>
      <c r="C92" s="2" t="s">
        <v>86</v>
      </c>
      <c r="D92" s="3">
        <v>600</v>
      </c>
    </row>
    <row r="93" spans="2:7" ht="13" x14ac:dyDescent="0.15">
      <c r="B93" s="7" t="s">
        <v>83</v>
      </c>
      <c r="C93" s="7"/>
      <c r="D93" s="8">
        <f>SUM(D89:D92)</f>
        <v>6600</v>
      </c>
      <c r="F93" s="8">
        <f>D93</f>
        <v>6600</v>
      </c>
      <c r="G93" s="8">
        <f>D93</f>
        <v>6600</v>
      </c>
    </row>
    <row r="96" spans="2:7" ht="26" x14ac:dyDescent="0.15">
      <c r="B96" s="7" t="s">
        <v>84</v>
      </c>
      <c r="C96" s="7"/>
      <c r="D96" s="8"/>
      <c r="E96" s="8"/>
      <c r="F96" s="8">
        <f>F87+F93</f>
        <v>149522</v>
      </c>
      <c r="G96" s="8">
        <f>G87+G93</f>
        <v>40644</v>
      </c>
    </row>
  </sheetData>
  <pageMargins left="0.75" right="0.75" top="1" bottom="1" header="0.5" footer="0.5"/>
  <pageSetup scale="5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7"/>
  <sheetViews>
    <sheetView workbookViewId="0">
      <selection activeCell="C31" sqref="C31"/>
    </sheetView>
  </sheetViews>
  <sheetFormatPr baseColWidth="10" defaultRowHeight="16" x14ac:dyDescent="0.2"/>
  <cols>
    <col min="1" max="1" width="26.33203125" customWidth="1"/>
    <col min="3" max="3" width="24.5" customWidth="1"/>
  </cols>
  <sheetData>
    <row r="2" spans="1:11" ht="26" x14ac:dyDescent="0.3">
      <c r="A2" s="166" t="s">
        <v>103</v>
      </c>
      <c r="B2" s="33"/>
      <c r="C2" s="33"/>
      <c r="D2" s="33"/>
    </row>
    <row r="4" spans="1:11" x14ac:dyDescent="0.2">
      <c r="A4" t="s">
        <v>213</v>
      </c>
      <c r="C4" s="34">
        <v>280000</v>
      </c>
      <c r="G4" s="33" t="s">
        <v>110</v>
      </c>
      <c r="H4" t="s">
        <v>111</v>
      </c>
      <c r="I4">
        <v>5</v>
      </c>
    </row>
    <row r="5" spans="1:11" x14ac:dyDescent="0.2">
      <c r="A5" t="s">
        <v>214</v>
      </c>
      <c r="C5" s="34">
        <v>250000</v>
      </c>
      <c r="G5" s="33"/>
    </row>
    <row r="6" spans="1:11" x14ac:dyDescent="0.2">
      <c r="A6" t="s">
        <v>104</v>
      </c>
      <c r="C6" s="34">
        <v>750000</v>
      </c>
      <c r="H6" t="s">
        <v>112</v>
      </c>
    </row>
    <row r="7" spans="1:11" x14ac:dyDescent="0.2">
      <c r="A7" t="s">
        <v>215</v>
      </c>
      <c r="C7" s="34">
        <v>250000</v>
      </c>
      <c r="H7" t="s">
        <v>113</v>
      </c>
    </row>
    <row r="8" spans="1:11" x14ac:dyDescent="0.2">
      <c r="A8" t="s">
        <v>216</v>
      </c>
      <c r="C8" s="34">
        <v>150000</v>
      </c>
      <c r="G8" t="s">
        <v>211</v>
      </c>
    </row>
    <row r="9" spans="1:11" x14ac:dyDescent="0.2">
      <c r="A9" t="s">
        <v>105</v>
      </c>
      <c r="C9" s="34">
        <v>100000</v>
      </c>
      <c r="G9" t="s">
        <v>212</v>
      </c>
    </row>
    <row r="10" spans="1:11" x14ac:dyDescent="0.2">
      <c r="A10" t="s">
        <v>106</v>
      </c>
      <c r="C10" s="34">
        <v>450000</v>
      </c>
    </row>
    <row r="11" spans="1:11" x14ac:dyDescent="0.2">
      <c r="A11" t="s">
        <v>217</v>
      </c>
      <c r="C11" s="34">
        <v>200000</v>
      </c>
    </row>
    <row r="12" spans="1:11" x14ac:dyDescent="0.2">
      <c r="A12" t="s">
        <v>107</v>
      </c>
      <c r="C12" s="34">
        <v>50000</v>
      </c>
    </row>
    <row r="13" spans="1:11" x14ac:dyDescent="0.2">
      <c r="A13" t="s">
        <v>108</v>
      </c>
      <c r="C13" s="34">
        <v>100000</v>
      </c>
      <c r="K13" t="s">
        <v>94</v>
      </c>
    </row>
    <row r="14" spans="1:11" x14ac:dyDescent="0.2">
      <c r="A14" t="s">
        <v>109</v>
      </c>
      <c r="C14" s="34">
        <v>50000</v>
      </c>
      <c r="K14" t="s">
        <v>94</v>
      </c>
    </row>
    <row r="15" spans="1:11" x14ac:dyDescent="0.2">
      <c r="A15" t="s">
        <v>218</v>
      </c>
      <c r="C15" s="34">
        <v>50000</v>
      </c>
      <c r="K15" t="s">
        <v>94</v>
      </c>
    </row>
    <row r="16" spans="1:11" x14ac:dyDescent="0.2">
      <c r="C16" s="34"/>
      <c r="K16" t="s">
        <v>94</v>
      </c>
    </row>
    <row r="17" spans="1:3" ht="19" x14ac:dyDescent="0.25">
      <c r="A17" s="35" t="s">
        <v>9</v>
      </c>
      <c r="B17" s="35"/>
      <c r="C17" s="36">
        <f>SUM(C4:C16)</f>
        <v>2680000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updated 092520</vt:lpstr>
      <vt:lpstr>costs summary</vt:lpstr>
      <vt:lpstr>checking 42 ch costs</vt:lpstr>
      <vt:lpstr>orig Costs</vt:lpstr>
      <vt:lpstr>current investment</vt:lpstr>
    </vt:vector>
  </TitlesOfParts>
  <Company>Purdue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Robinson</dc:creator>
  <cp:lastModifiedBy>J.Paul Robinson</cp:lastModifiedBy>
  <cp:lastPrinted>2021-09-12T19:16:34Z</cp:lastPrinted>
  <dcterms:created xsi:type="dcterms:W3CDTF">2019-03-13T18:07:19Z</dcterms:created>
  <dcterms:modified xsi:type="dcterms:W3CDTF">2021-09-14T15:54:26Z</dcterms:modified>
</cp:coreProperties>
</file>